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CC59" lockStructure="1" lockWindows="1"/>
  <bookViews>
    <workbookView xWindow="0" yWindow="0" windowWidth="25200" windowHeight="11100"/>
  </bookViews>
  <sheets>
    <sheet name="Rekapitulace" sheetId="8" r:id="rId1"/>
    <sheet name="Odbočení stoka A" sheetId="10" r:id="rId2"/>
    <sheet name="Odbočení stoka A3" sheetId="11" r:id="rId3"/>
    <sheet name="Odbočení stoka A4" sheetId="12" r:id="rId4"/>
    <sheet name="Odbočení stoka A4a" sheetId="13" r:id="rId5"/>
    <sheet name="Odbočení stoka D" sheetId="15" r:id="rId6"/>
    <sheet name="Odbočení stoka D3" sheetId="16" r:id="rId7"/>
  </sheets>
  <externalReferences>
    <externalReference r:id="rId8"/>
    <externalReference r:id="rId9"/>
    <externalReference r:id="rId10"/>
    <externalReference r:id="rId11"/>
  </externalReferences>
  <definedNames>
    <definedName name="__BPK1" localSheetId="0">#REF!</definedName>
    <definedName name="__BPK1">#REF!</definedName>
    <definedName name="__BPK2" localSheetId="0">#REF!</definedName>
    <definedName name="__BPK2">#REF!</definedName>
    <definedName name="__BPK3" localSheetId="0">#REF!</definedName>
    <definedName name="__BPK3">#REF!</definedName>
    <definedName name="__HSV1" localSheetId="0">#REF!</definedName>
    <definedName name="__HSV1">#REF!</definedName>
    <definedName name="__HZS1" localSheetId="0">#REF!</definedName>
    <definedName name="__HZS1">#REF!</definedName>
    <definedName name="_BPK1" localSheetId="0">#REF!</definedName>
    <definedName name="_BPK1">#REF!</definedName>
    <definedName name="_BPK2" localSheetId="0">#REF!</definedName>
    <definedName name="_BPK2">#REF!</definedName>
    <definedName name="_BPK3" localSheetId="0">#REF!</definedName>
    <definedName name="_BPK3">#REF!</definedName>
    <definedName name="_xlnm._FilterDatabase" localSheetId="1" hidden="1">'Odbočení stoka A'!$C$131:$K$339</definedName>
    <definedName name="_xlnm._FilterDatabase" localSheetId="2" hidden="1">'Odbočení stoka A3'!$C$130:$K$315</definedName>
    <definedName name="_xlnm._FilterDatabase" localSheetId="3" hidden="1">'Odbočení stoka A4'!$C$130:$K$318</definedName>
    <definedName name="_xlnm._FilterDatabase" localSheetId="4" hidden="1">'Odbočení stoka A4a'!$C$130:$K$310</definedName>
    <definedName name="_xlnm._FilterDatabase" localSheetId="5" hidden="1">'Odbočení stoka D'!$C$131:$K$323</definedName>
    <definedName name="_xlnm._FilterDatabase" localSheetId="6" hidden="1">'Odbočení stoka D3'!$C$131:$K$306</definedName>
    <definedName name="_HSV1" localSheetId="0">#REF!</definedName>
    <definedName name="_HSV1">#REF!</definedName>
    <definedName name="_HZS1" localSheetId="0">#REF!</definedName>
    <definedName name="_HZS1">#REF!</definedName>
    <definedName name="ASFAF" localSheetId="0">#REF!</definedName>
    <definedName name="ASFAF">#REF!</definedName>
    <definedName name="ASFAF1" localSheetId="0">#REF!</definedName>
    <definedName name="ASFAF1">#REF!</definedName>
    <definedName name="cisloobjektu">'[1]Krycí list'!$A$5</definedName>
    <definedName name="cislostavby">'[1]Krycí list'!$A$7</definedName>
    <definedName name="dghjshjsf" localSheetId="0">#REF!</definedName>
    <definedName name="dghjshjsf">#REF!</definedName>
    <definedName name="Dodavka">[2]Rekapitulace!$G$8</definedName>
    <definedName name="Dodavka0" localSheetId="0">#REF!</definedName>
    <definedName name="Dodavka0">#REF!</definedName>
    <definedName name="HSV">[2]Rekapitulace!$E$8</definedName>
    <definedName name="HSV0" localSheetId="0">#REF!</definedName>
    <definedName name="HSV0">#REF!</definedName>
    <definedName name="HZS">[2]Rekapitulace!$I$8</definedName>
    <definedName name="HZS0" localSheetId="0">#REF!</definedName>
    <definedName name="HZS0">#REF!</definedName>
    <definedName name="k" localSheetId="0">#REF!</definedName>
    <definedName name="k">#REF!</definedName>
    <definedName name="marže_Gaus" localSheetId="0">#REF!</definedName>
    <definedName name="marže_Gaus">#REF!</definedName>
    <definedName name="Mont">[2]Rekapitulace!$H$8</definedName>
    <definedName name="Montaz0" localSheetId="0">#REF!</definedName>
    <definedName name="Montaz0">#REF!</definedName>
    <definedName name="nazevobjektu">'[1]Krycí list'!$C$5</definedName>
    <definedName name="nazevstavby">'[1]Krycí list'!$C$7</definedName>
    <definedName name="_xlnm.Print_Titles" localSheetId="1">'Odbočení stoka A'!$131:$131</definedName>
    <definedName name="_xlnm.Print_Titles" localSheetId="2">'Odbočení stoka A3'!$130:$130</definedName>
    <definedName name="_xlnm.Print_Titles" localSheetId="3">'Odbočení stoka A4'!$130:$130</definedName>
    <definedName name="_xlnm.Print_Titles" localSheetId="4">'Odbočení stoka A4a'!$130:$130</definedName>
    <definedName name="_xlnm.Print_Titles" localSheetId="5">'Odbočení stoka D'!$131:$131</definedName>
    <definedName name="_xlnm.Print_Titles" localSheetId="6">'Odbočení stoka D3'!$131:$131</definedName>
    <definedName name="_xlnm.Print_Area" localSheetId="1">'Odbočení stoka A'!$C$4:$J$75,'Odbočení stoka A'!$C$81:$J$109,'Odbočení stoka A'!$C$115:$K$339</definedName>
    <definedName name="_xlnm.Print_Area" localSheetId="2">'Odbočení stoka A3'!$C$4:$J$75,'Odbočení stoka A3'!$C$81:$J$108,'Odbočení stoka A3'!$C$114:$K$315</definedName>
    <definedName name="_xlnm.Print_Area" localSheetId="3">'Odbočení stoka A4'!$C$4:$J$75,'Odbočení stoka A4'!$C$81:$J$108,'Odbočení stoka A4'!$C$114:$K$318</definedName>
    <definedName name="_xlnm.Print_Area" localSheetId="4">'Odbočení stoka A4a'!$C$4:$J$75,'Odbočení stoka A4a'!$C$81:$J$108,'Odbočení stoka A4a'!$C$114:$K$310</definedName>
    <definedName name="_xlnm.Print_Area" localSheetId="5">'Odbočení stoka D'!$C$4:$J$75,'Odbočení stoka D'!$C$81:$J$109,'Odbočení stoka D'!$C$115:$K$323</definedName>
    <definedName name="_xlnm.Print_Area" localSheetId="6">'Odbočení stoka D3'!$C$4:$J$75,'Odbočení stoka D3'!$C$81:$J$109,'Odbočení stoka D3'!$C$115:$K$306</definedName>
    <definedName name="PSV">[2]Rekapitulace!$F$8</definedName>
    <definedName name="PSV0" localSheetId="0">#REF!</definedName>
    <definedName name="PSV0">#REF!</definedName>
    <definedName name="Služby" localSheetId="0">#REF!</definedName>
    <definedName name="Služby">#REF!</definedName>
    <definedName name="Strojní" localSheetId="0">#REF!</definedName>
    <definedName name="Strojní">#REF!</definedName>
    <definedName name="Subdodávky" localSheetId="0">#REF!</definedName>
    <definedName name="Subdodávky">#REF!</definedName>
    <definedName name="Typ" localSheetId="0">#REF!</definedName>
    <definedName name="Typ">#REF!</definedName>
    <definedName name="VRN">[2]Rekapitulace!$H$21</definedName>
    <definedName name="VRNKc" localSheetId="0">[3]Rekapitulace!#REF!</definedName>
    <definedName name="VRNKc">[3]Rekapitulace!#REF!</definedName>
    <definedName name="VRNnazev" localSheetId="0">[3]Rekapitulace!#REF!</definedName>
    <definedName name="VRNnazev">[3]Rekapitulace!#REF!</definedName>
    <definedName name="VRNproc" localSheetId="0">[3]Rekapitulace!#REF!</definedName>
    <definedName name="VRNproc">[3]Rekapitulace!#REF!</definedName>
    <definedName name="VRNzakl" localSheetId="0">[3]Rekapitulace!#REF!</definedName>
    <definedName name="VRNzakl">[3]Rekapitulace!#REF!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8" l="1"/>
  <c r="H289" i="16" l="1"/>
  <c r="H295" i="16"/>
  <c r="H294" i="16"/>
  <c r="H293" i="16"/>
  <c r="H292" i="16"/>
  <c r="H223" i="16"/>
  <c r="H216" i="16"/>
  <c r="H204" i="16"/>
  <c r="H231" i="16"/>
  <c r="H226" i="15"/>
  <c r="H213" i="16"/>
  <c r="H179" i="16"/>
  <c r="H176" i="16"/>
  <c r="H165" i="16"/>
  <c r="H161" i="16"/>
  <c r="H152" i="16"/>
  <c r="H150" i="16"/>
  <c r="H137" i="16"/>
  <c r="H312" i="15"/>
  <c r="H306" i="15"/>
  <c r="H305" i="15"/>
  <c r="H304" i="15"/>
  <c r="H244" i="15"/>
  <c r="H207" i="15"/>
  <c r="H239" i="15"/>
  <c r="H234" i="15"/>
  <c r="H219" i="15"/>
  <c r="H216" i="15"/>
  <c r="H199" i="15"/>
  <c r="H187" i="15"/>
  <c r="H181" i="15"/>
  <c r="H178" i="15"/>
  <c r="H175" i="15"/>
  <c r="H166" i="15"/>
  <c r="H162" i="15"/>
  <c r="H153" i="15"/>
  <c r="H150" i="15"/>
  <c r="H145" i="15"/>
  <c r="H137" i="15"/>
  <c r="H307" i="12" l="1"/>
  <c r="H306" i="12"/>
  <c r="H301" i="12"/>
  <c r="H300" i="12"/>
  <c r="H299" i="12"/>
  <c r="H228" i="12"/>
  <c r="H209" i="12"/>
  <c r="H238" i="12"/>
  <c r="H221" i="12"/>
  <c r="H218" i="12"/>
  <c r="H200" i="12"/>
  <c r="H196" i="12"/>
  <c r="H188" i="12"/>
  <c r="H182" i="12"/>
  <c r="H179" i="12"/>
  <c r="H176" i="12"/>
  <c r="H174" i="12"/>
  <c r="H168" i="12"/>
  <c r="H164" i="12"/>
  <c r="H155" i="12"/>
  <c r="H153" i="12"/>
  <c r="H148" i="12"/>
  <c r="H136" i="12"/>
  <c r="H304" i="11"/>
  <c r="H301" i="11"/>
  <c r="H300" i="11"/>
  <c r="H299" i="11"/>
  <c r="H231" i="11"/>
  <c r="H212" i="11"/>
  <c r="H238" i="11"/>
  <c r="H224" i="11"/>
  <c r="H221" i="11"/>
  <c r="H203" i="11"/>
  <c r="H199" i="11"/>
  <c r="H184" i="11"/>
  <c r="H181" i="11"/>
  <c r="H178" i="11"/>
  <c r="H173" i="11"/>
  <c r="H167" i="11"/>
  <c r="H163" i="11"/>
  <c r="H154" i="11"/>
  <c r="H151" i="11"/>
  <c r="H146" i="11"/>
  <c r="H136" i="11"/>
  <c r="H299" i="13" l="1"/>
  <c r="H298" i="13"/>
  <c r="H293" i="13"/>
  <c r="H292" i="13"/>
  <c r="H291" i="13"/>
  <c r="H225" i="13"/>
  <c r="H217" i="13"/>
  <c r="H205" i="13"/>
  <c r="H203" i="13"/>
  <c r="H233" i="13"/>
  <c r="H214" i="13"/>
  <c r="H197" i="13"/>
  <c r="H179" i="13"/>
  <c r="H176" i="13"/>
  <c r="H173" i="13"/>
  <c r="H165" i="13"/>
  <c r="H161" i="13"/>
  <c r="H152" i="13"/>
  <c r="H150" i="13"/>
  <c r="H136" i="13"/>
  <c r="H145" i="13"/>
  <c r="H328" i="10"/>
  <c r="H324" i="10"/>
  <c r="H323" i="10"/>
  <c r="H137" i="10"/>
  <c r="H147" i="10"/>
  <c r="H245" i="10" l="1"/>
  <c r="H230" i="10"/>
  <c r="H223" i="10"/>
  <c r="H211" i="10"/>
  <c r="H209" i="10"/>
  <c r="H208" i="10"/>
  <c r="H253" i="10"/>
  <c r="H207" i="10"/>
  <c r="H240" i="10"/>
  <c r="H205" i="10"/>
  <c r="H203" i="10"/>
  <c r="H220" i="10"/>
  <c r="H181" i="10"/>
  <c r="H174" i="10"/>
  <c r="P174" i="10" s="1"/>
  <c r="H178" i="10"/>
  <c r="J174" i="10"/>
  <c r="BE174" i="10" s="1"/>
  <c r="T174" i="10"/>
  <c r="BF174" i="10"/>
  <c r="BG174" i="10"/>
  <c r="BH174" i="10"/>
  <c r="BI174" i="10"/>
  <c r="J179" i="10"/>
  <c r="P179" i="10"/>
  <c r="R179" i="10"/>
  <c r="T179" i="10"/>
  <c r="BE179" i="10"/>
  <c r="BF179" i="10"/>
  <c r="BG179" i="10"/>
  <c r="BH179" i="10"/>
  <c r="BI179" i="10"/>
  <c r="BK179" i="10"/>
  <c r="J182" i="10"/>
  <c r="P182" i="10"/>
  <c r="R182" i="10"/>
  <c r="T182" i="10"/>
  <c r="BE182" i="10"/>
  <c r="BF182" i="10"/>
  <c r="BG182" i="10"/>
  <c r="BH182" i="10"/>
  <c r="BI182" i="10"/>
  <c r="BK182" i="10"/>
  <c r="H172" i="10"/>
  <c r="H173" i="10" s="1"/>
  <c r="H166" i="10"/>
  <c r="H162" i="10"/>
  <c r="H152" i="10"/>
  <c r="R174" i="10" l="1"/>
  <c r="BK174" i="10"/>
  <c r="BK305" i="16" l="1"/>
  <c r="BI305" i="16"/>
  <c r="BH305" i="16"/>
  <c r="BG305" i="16"/>
  <c r="BF305" i="16"/>
  <c r="T305" i="16"/>
  <c r="R305" i="16"/>
  <c r="R304" i="16" s="1"/>
  <c r="P305" i="16"/>
  <c r="P304" i="16" s="1"/>
  <c r="J305" i="16"/>
  <c r="BE305" i="16" s="1"/>
  <c r="BK304" i="16"/>
  <c r="J304" i="16" s="1"/>
  <c r="J108" i="16" s="1"/>
  <c r="T304" i="16"/>
  <c r="BK301" i="16"/>
  <c r="BI301" i="16"/>
  <c r="BH301" i="16"/>
  <c r="BG301" i="16"/>
  <c r="BF301" i="16"/>
  <c r="T301" i="16"/>
  <c r="R301" i="16"/>
  <c r="P301" i="16"/>
  <c r="J301" i="16"/>
  <c r="BE301" i="16" s="1"/>
  <c r="BK298" i="16"/>
  <c r="BI298" i="16"/>
  <c r="BH298" i="16"/>
  <c r="BG298" i="16"/>
  <c r="BF298" i="16"/>
  <c r="T298" i="16"/>
  <c r="R298" i="16"/>
  <c r="P298" i="16"/>
  <c r="J298" i="16"/>
  <c r="BE298" i="16" s="1"/>
  <c r="BK296" i="16"/>
  <c r="BI296" i="16"/>
  <c r="BH296" i="16"/>
  <c r="BG296" i="16"/>
  <c r="BF296" i="16"/>
  <c r="T296" i="16"/>
  <c r="R296" i="16"/>
  <c r="P296" i="16"/>
  <c r="J296" i="16"/>
  <c r="BE296" i="16" s="1"/>
  <c r="BK290" i="16"/>
  <c r="BI290" i="16"/>
  <c r="BH290" i="16"/>
  <c r="BG290" i="16"/>
  <c r="BF290" i="16"/>
  <c r="T290" i="16"/>
  <c r="R290" i="16"/>
  <c r="P290" i="16"/>
  <c r="J290" i="16"/>
  <c r="BE290" i="16" s="1"/>
  <c r="BK285" i="16"/>
  <c r="BI285" i="16"/>
  <c r="BH285" i="16"/>
  <c r="BG285" i="16"/>
  <c r="BF285" i="16"/>
  <c r="T285" i="16"/>
  <c r="R285" i="16"/>
  <c r="P285" i="16"/>
  <c r="J285" i="16"/>
  <c r="BE285" i="16" s="1"/>
  <c r="BK282" i="16"/>
  <c r="BI282" i="16"/>
  <c r="BH282" i="16"/>
  <c r="BG282" i="16"/>
  <c r="BF282" i="16"/>
  <c r="T282" i="16"/>
  <c r="R282" i="16"/>
  <c r="P282" i="16"/>
  <c r="J282" i="16"/>
  <c r="BE282" i="16" s="1"/>
  <c r="BK280" i="16"/>
  <c r="BI280" i="16"/>
  <c r="BH280" i="16"/>
  <c r="BG280" i="16"/>
  <c r="BF280" i="16"/>
  <c r="T280" i="16"/>
  <c r="R280" i="16"/>
  <c r="P280" i="16"/>
  <c r="J280" i="16"/>
  <c r="BE280" i="16" s="1"/>
  <c r="BK278" i="16"/>
  <c r="BI278" i="16"/>
  <c r="BH278" i="16"/>
  <c r="BG278" i="16"/>
  <c r="BF278" i="16"/>
  <c r="T278" i="16"/>
  <c r="R278" i="16"/>
  <c r="P278" i="16"/>
  <c r="J278" i="16"/>
  <c r="BE278" i="16" s="1"/>
  <c r="BK274" i="16"/>
  <c r="BI274" i="16"/>
  <c r="BH274" i="16"/>
  <c r="BG274" i="16"/>
  <c r="BF274" i="16"/>
  <c r="T274" i="16"/>
  <c r="R274" i="16"/>
  <c r="P274" i="16"/>
  <c r="J274" i="16"/>
  <c r="BE274" i="16" s="1"/>
  <c r="BK271" i="16"/>
  <c r="BI271" i="16"/>
  <c r="BH271" i="16"/>
  <c r="BG271" i="16"/>
  <c r="BF271" i="16"/>
  <c r="T271" i="16"/>
  <c r="R271" i="16"/>
  <c r="P271" i="16"/>
  <c r="J271" i="16"/>
  <c r="BE271" i="16" s="1"/>
  <c r="BK269" i="16"/>
  <c r="BI269" i="16"/>
  <c r="BH269" i="16"/>
  <c r="BG269" i="16"/>
  <c r="BF269" i="16"/>
  <c r="T269" i="16"/>
  <c r="R269" i="16"/>
  <c r="P269" i="16"/>
  <c r="J269" i="16"/>
  <c r="BE269" i="16" s="1"/>
  <c r="BK264" i="16"/>
  <c r="BI264" i="16"/>
  <c r="BH264" i="16"/>
  <c r="BG264" i="16"/>
  <c r="BF264" i="16"/>
  <c r="T264" i="16"/>
  <c r="R264" i="16"/>
  <c r="P264" i="16"/>
  <c r="J264" i="16"/>
  <c r="BE264" i="16" s="1"/>
  <c r="BK262" i="16"/>
  <c r="BI262" i="16"/>
  <c r="BH262" i="16"/>
  <c r="BG262" i="16"/>
  <c r="BF262" i="16"/>
  <c r="T262" i="16"/>
  <c r="R262" i="16"/>
  <c r="P262" i="16"/>
  <c r="J262" i="16"/>
  <c r="BE262" i="16" s="1"/>
  <c r="BK260" i="16"/>
  <c r="BI260" i="16"/>
  <c r="BH260" i="16"/>
  <c r="BG260" i="16"/>
  <c r="BF260" i="16"/>
  <c r="T260" i="16"/>
  <c r="R260" i="16"/>
  <c r="P260" i="16"/>
  <c r="J260" i="16"/>
  <c r="BE260" i="16" s="1"/>
  <c r="BK257" i="16"/>
  <c r="BI257" i="16"/>
  <c r="BH257" i="16"/>
  <c r="BG257" i="16"/>
  <c r="BF257" i="16"/>
  <c r="T257" i="16"/>
  <c r="R257" i="16"/>
  <c r="P257" i="16"/>
  <c r="J257" i="16"/>
  <c r="BE257" i="16" s="1"/>
  <c r="BK253" i="16"/>
  <c r="BI253" i="16"/>
  <c r="BH253" i="16"/>
  <c r="BG253" i="16"/>
  <c r="BF253" i="16"/>
  <c r="T253" i="16"/>
  <c r="R253" i="16"/>
  <c r="P253" i="16"/>
  <c r="J253" i="16"/>
  <c r="BE253" i="16" s="1"/>
  <c r="BK249" i="16"/>
  <c r="BI249" i="16"/>
  <c r="BH249" i="16"/>
  <c r="BG249" i="16"/>
  <c r="BF249" i="16"/>
  <c r="T249" i="16"/>
  <c r="R249" i="16"/>
  <c r="P249" i="16"/>
  <c r="J249" i="16"/>
  <c r="BE249" i="16" s="1"/>
  <c r="BK247" i="16"/>
  <c r="BI247" i="16"/>
  <c r="BH247" i="16"/>
  <c r="BG247" i="16"/>
  <c r="BF247" i="16"/>
  <c r="T247" i="16"/>
  <c r="R247" i="16"/>
  <c r="P247" i="16"/>
  <c r="J247" i="16"/>
  <c r="BE247" i="16" s="1"/>
  <c r="BK245" i="16"/>
  <c r="BI245" i="16"/>
  <c r="BH245" i="16"/>
  <c r="BG245" i="16"/>
  <c r="BF245" i="16"/>
  <c r="T245" i="16"/>
  <c r="R245" i="16"/>
  <c r="P245" i="16"/>
  <c r="J245" i="16"/>
  <c r="BE245" i="16" s="1"/>
  <c r="BK243" i="16"/>
  <c r="BI243" i="16"/>
  <c r="BH243" i="16"/>
  <c r="BG243" i="16"/>
  <c r="BF243" i="16"/>
  <c r="T243" i="16"/>
  <c r="R243" i="16"/>
  <c r="P243" i="16"/>
  <c r="J243" i="16"/>
  <c r="BE243" i="16" s="1"/>
  <c r="BK237" i="16"/>
  <c r="BI237" i="16"/>
  <c r="BH237" i="16"/>
  <c r="BG237" i="16"/>
  <c r="BF237" i="16"/>
  <c r="T237" i="16"/>
  <c r="R237" i="16"/>
  <c r="P237" i="16"/>
  <c r="J237" i="16"/>
  <c r="BE237" i="16" s="1"/>
  <c r="BK232" i="16"/>
  <c r="BI232" i="16"/>
  <c r="BH232" i="16"/>
  <c r="BG232" i="16"/>
  <c r="BF232" i="16"/>
  <c r="T232" i="16"/>
  <c r="R232" i="16"/>
  <c r="P232" i="16"/>
  <c r="J232" i="16"/>
  <c r="BE232" i="16" s="1"/>
  <c r="BK228" i="16"/>
  <c r="BI228" i="16"/>
  <c r="BH228" i="16"/>
  <c r="BG228" i="16"/>
  <c r="BF228" i="16"/>
  <c r="T228" i="16"/>
  <c r="R228" i="16"/>
  <c r="P228" i="16"/>
  <c r="J228" i="16"/>
  <c r="BE228" i="16" s="1"/>
  <c r="BK225" i="16"/>
  <c r="BK224" i="16" s="1"/>
  <c r="J224" i="16" s="1"/>
  <c r="J102" i="16" s="1"/>
  <c r="BI225" i="16"/>
  <c r="BH225" i="16"/>
  <c r="BG225" i="16"/>
  <c r="BF225" i="16"/>
  <c r="T225" i="16"/>
  <c r="T224" i="16" s="1"/>
  <c r="R225" i="16"/>
  <c r="R224" i="16" s="1"/>
  <c r="P225" i="16"/>
  <c r="P224" i="16" s="1"/>
  <c r="J225" i="16"/>
  <c r="BE225" i="16" s="1"/>
  <c r="BK221" i="16"/>
  <c r="BI221" i="16"/>
  <c r="BH221" i="16"/>
  <c r="BG221" i="16"/>
  <c r="BF221" i="16"/>
  <c r="T221" i="16"/>
  <c r="R221" i="16"/>
  <c r="P221" i="16"/>
  <c r="J221" i="16"/>
  <c r="BE221" i="16" s="1"/>
  <c r="BK219" i="16"/>
  <c r="BI219" i="16"/>
  <c r="BH219" i="16"/>
  <c r="BG219" i="16"/>
  <c r="BF219" i="16"/>
  <c r="T219" i="16"/>
  <c r="R219" i="16"/>
  <c r="P219" i="16"/>
  <c r="J219" i="16"/>
  <c r="BE219" i="16" s="1"/>
  <c r="BK217" i="16"/>
  <c r="BI217" i="16"/>
  <c r="BH217" i="16"/>
  <c r="BG217" i="16"/>
  <c r="BF217" i="16"/>
  <c r="T217" i="16"/>
  <c r="R217" i="16"/>
  <c r="P217" i="16"/>
  <c r="J217" i="16"/>
  <c r="BE217" i="16" s="1"/>
  <c r="BK214" i="16"/>
  <c r="BI214" i="16"/>
  <c r="BH214" i="16"/>
  <c r="BG214" i="16"/>
  <c r="BF214" i="16"/>
  <c r="T214" i="16"/>
  <c r="R214" i="16"/>
  <c r="P214" i="16"/>
  <c r="J214" i="16"/>
  <c r="BE214" i="16" s="1"/>
  <c r="BK210" i="16"/>
  <c r="BI210" i="16"/>
  <c r="BH210" i="16"/>
  <c r="BG210" i="16"/>
  <c r="BF210" i="16"/>
  <c r="T210" i="16"/>
  <c r="R210" i="16"/>
  <c r="P210" i="16"/>
  <c r="J210" i="16"/>
  <c r="BE210" i="16" s="1"/>
  <c r="H209" i="16"/>
  <c r="BK206" i="16"/>
  <c r="BI206" i="16"/>
  <c r="BH206" i="16"/>
  <c r="BG206" i="16"/>
  <c r="BF206" i="16"/>
  <c r="T206" i="16"/>
  <c r="R206" i="16"/>
  <c r="P206" i="16"/>
  <c r="J206" i="16"/>
  <c r="BE206" i="16" s="1"/>
  <c r="H205" i="16"/>
  <c r="BK193" i="16"/>
  <c r="BI193" i="16"/>
  <c r="BH193" i="16"/>
  <c r="BG193" i="16"/>
  <c r="BF193" i="16"/>
  <c r="T193" i="16"/>
  <c r="R193" i="16"/>
  <c r="P193" i="16"/>
  <c r="J193" i="16"/>
  <c r="BE193" i="16" s="1"/>
  <c r="H191" i="16"/>
  <c r="H192" i="16" s="1"/>
  <c r="BK185" i="16"/>
  <c r="BI185" i="16"/>
  <c r="BH185" i="16"/>
  <c r="BG185" i="16"/>
  <c r="BF185" i="16"/>
  <c r="T185" i="16"/>
  <c r="R185" i="16"/>
  <c r="P185" i="16"/>
  <c r="J185" i="16"/>
  <c r="BE185" i="16" s="1"/>
  <c r="BK182" i="16"/>
  <c r="BI182" i="16"/>
  <c r="BH182" i="16"/>
  <c r="BG182" i="16"/>
  <c r="BF182" i="16"/>
  <c r="T182" i="16"/>
  <c r="R182" i="16"/>
  <c r="P182" i="16"/>
  <c r="J182" i="16"/>
  <c r="BE182" i="16" s="1"/>
  <c r="BK180" i="16"/>
  <c r="BI180" i="16"/>
  <c r="BH180" i="16"/>
  <c r="BG180" i="16"/>
  <c r="BF180" i="16"/>
  <c r="T180" i="16"/>
  <c r="R180" i="16"/>
  <c r="P180" i="16"/>
  <c r="J180" i="16"/>
  <c r="BE180" i="16" s="1"/>
  <c r="BK177" i="16"/>
  <c r="BI177" i="16"/>
  <c r="BH177" i="16"/>
  <c r="BG177" i="16"/>
  <c r="BF177" i="16"/>
  <c r="T177" i="16"/>
  <c r="R177" i="16"/>
  <c r="P177" i="16"/>
  <c r="J177" i="16"/>
  <c r="BE177" i="16" s="1"/>
  <c r="BK174" i="16"/>
  <c r="BI174" i="16"/>
  <c r="BH174" i="16"/>
  <c r="BG174" i="16"/>
  <c r="BF174" i="16"/>
  <c r="T174" i="16"/>
  <c r="R174" i="16"/>
  <c r="P174" i="16"/>
  <c r="J174" i="16"/>
  <c r="BE174" i="16" s="1"/>
  <c r="BK172" i="16"/>
  <c r="BI172" i="16"/>
  <c r="BH172" i="16"/>
  <c r="BG172" i="16"/>
  <c r="BF172" i="16"/>
  <c r="T172" i="16"/>
  <c r="R172" i="16"/>
  <c r="P172" i="16"/>
  <c r="J172" i="16"/>
  <c r="BE172" i="16" s="1"/>
  <c r="BK168" i="16"/>
  <c r="BI168" i="16"/>
  <c r="BH168" i="16"/>
  <c r="BG168" i="16"/>
  <c r="BF168" i="16"/>
  <c r="T168" i="16"/>
  <c r="R168" i="16"/>
  <c r="P168" i="16"/>
  <c r="J168" i="16"/>
  <c r="BE168" i="16" s="1"/>
  <c r="BK166" i="16"/>
  <c r="BI166" i="16"/>
  <c r="BH166" i="16"/>
  <c r="BG166" i="16"/>
  <c r="BF166" i="16"/>
  <c r="T166" i="16"/>
  <c r="R166" i="16"/>
  <c r="P166" i="16"/>
  <c r="J166" i="16"/>
  <c r="BE166" i="16" s="1"/>
  <c r="BK162" i="16"/>
  <c r="BI162" i="16"/>
  <c r="BH162" i="16"/>
  <c r="BG162" i="16"/>
  <c r="BF162" i="16"/>
  <c r="T162" i="16"/>
  <c r="R162" i="16"/>
  <c r="P162" i="16"/>
  <c r="J162" i="16"/>
  <c r="BE162" i="16" s="1"/>
  <c r="BK158" i="16"/>
  <c r="BI158" i="16"/>
  <c r="BH158" i="16"/>
  <c r="BG158" i="16"/>
  <c r="BF158" i="16"/>
  <c r="T158" i="16"/>
  <c r="R158" i="16"/>
  <c r="P158" i="16"/>
  <c r="J158" i="16"/>
  <c r="BE158" i="16" s="1"/>
  <c r="BK155" i="16"/>
  <c r="BI155" i="16"/>
  <c r="BH155" i="16"/>
  <c r="BG155" i="16"/>
  <c r="BF155" i="16"/>
  <c r="T155" i="16"/>
  <c r="R155" i="16"/>
  <c r="P155" i="16"/>
  <c r="J155" i="16"/>
  <c r="BE155" i="16" s="1"/>
  <c r="H153" i="16"/>
  <c r="H154" i="16" s="1"/>
  <c r="BK146" i="16"/>
  <c r="BI146" i="16"/>
  <c r="BH146" i="16"/>
  <c r="BG146" i="16"/>
  <c r="BF146" i="16"/>
  <c r="T146" i="16"/>
  <c r="R146" i="16"/>
  <c r="P146" i="16"/>
  <c r="J146" i="16"/>
  <c r="BE146" i="16" s="1"/>
  <c r="BK143" i="16"/>
  <c r="BI143" i="16"/>
  <c r="BH143" i="16"/>
  <c r="BG143" i="16"/>
  <c r="BF143" i="16"/>
  <c r="T143" i="16"/>
  <c r="R143" i="16"/>
  <c r="P143" i="16"/>
  <c r="J143" i="16"/>
  <c r="BE143" i="16" s="1"/>
  <c r="BK140" i="16"/>
  <c r="BI140" i="16"/>
  <c r="BH140" i="16"/>
  <c r="BG140" i="16"/>
  <c r="BF140" i="16"/>
  <c r="T140" i="16"/>
  <c r="R140" i="16"/>
  <c r="P140" i="16"/>
  <c r="J140" i="16"/>
  <c r="BE140" i="16" s="1"/>
  <c r="BK138" i="16"/>
  <c r="BI138" i="16"/>
  <c r="BH138" i="16"/>
  <c r="BG138" i="16"/>
  <c r="BF138" i="16"/>
  <c r="T138" i="16"/>
  <c r="R138" i="16"/>
  <c r="P138" i="16"/>
  <c r="J138" i="16"/>
  <c r="BE138" i="16" s="1"/>
  <c r="BK135" i="16"/>
  <c r="BI135" i="16"/>
  <c r="BH135" i="16"/>
  <c r="BG135" i="16"/>
  <c r="BF135" i="16"/>
  <c r="T135" i="16"/>
  <c r="R135" i="16"/>
  <c r="P135" i="16"/>
  <c r="J135" i="16"/>
  <c r="BE135" i="16" s="1"/>
  <c r="J128" i="16"/>
  <c r="F128" i="16"/>
  <c r="F126" i="16"/>
  <c r="E124" i="16"/>
  <c r="J94" i="16"/>
  <c r="F94" i="16"/>
  <c r="F92" i="16"/>
  <c r="E90" i="16"/>
  <c r="J41" i="16"/>
  <c r="J40" i="16"/>
  <c r="J39" i="16"/>
  <c r="J28" i="16"/>
  <c r="E28" i="16"/>
  <c r="J95" i="16" s="1"/>
  <c r="J27" i="16"/>
  <c r="J22" i="16"/>
  <c r="E22" i="16"/>
  <c r="J21" i="16"/>
  <c r="J16" i="16"/>
  <c r="J126" i="16" s="1"/>
  <c r="E7" i="16"/>
  <c r="E118" i="16" s="1"/>
  <c r="BK322" i="15"/>
  <c r="BK321" i="15" s="1"/>
  <c r="J321" i="15" s="1"/>
  <c r="J108" i="15" s="1"/>
  <c r="BI322" i="15"/>
  <c r="BH322" i="15"/>
  <c r="BG322" i="15"/>
  <c r="BF322" i="15"/>
  <c r="T322" i="15"/>
  <c r="T321" i="15" s="1"/>
  <c r="R322" i="15"/>
  <c r="R321" i="15" s="1"/>
  <c r="P322" i="15"/>
  <c r="P321" i="15" s="1"/>
  <c r="J322" i="15"/>
  <c r="BE322" i="15" s="1"/>
  <c r="BK318" i="15"/>
  <c r="BI318" i="15"/>
  <c r="BH318" i="15"/>
  <c r="BG318" i="15"/>
  <c r="BF318" i="15"/>
  <c r="T318" i="15"/>
  <c r="R318" i="15"/>
  <c r="P318" i="15"/>
  <c r="J318" i="15"/>
  <c r="BE318" i="15" s="1"/>
  <c r="BK315" i="15"/>
  <c r="BI315" i="15"/>
  <c r="BH315" i="15"/>
  <c r="BG315" i="15"/>
  <c r="BF315" i="15"/>
  <c r="T315" i="15"/>
  <c r="R315" i="15"/>
  <c r="P315" i="15"/>
  <c r="J315" i="15"/>
  <c r="BE315" i="15" s="1"/>
  <c r="BK313" i="15"/>
  <c r="BI313" i="15"/>
  <c r="BH313" i="15"/>
  <c r="BG313" i="15"/>
  <c r="BF313" i="15"/>
  <c r="T313" i="15"/>
  <c r="R313" i="15"/>
  <c r="P313" i="15"/>
  <c r="J313" i="15"/>
  <c r="BE313" i="15" s="1"/>
  <c r="BK307" i="15"/>
  <c r="BI307" i="15"/>
  <c r="BH307" i="15"/>
  <c r="BG307" i="15"/>
  <c r="BF307" i="15"/>
  <c r="T307" i="15"/>
  <c r="R307" i="15"/>
  <c r="P307" i="15"/>
  <c r="J307" i="15"/>
  <c r="BE307" i="15" s="1"/>
  <c r="BK302" i="15"/>
  <c r="BI302" i="15"/>
  <c r="BH302" i="15"/>
  <c r="BG302" i="15"/>
  <c r="BF302" i="15"/>
  <c r="T302" i="15"/>
  <c r="R302" i="15"/>
  <c r="P302" i="15"/>
  <c r="J302" i="15"/>
  <c r="BE302" i="15" s="1"/>
  <c r="BK299" i="15"/>
  <c r="BI299" i="15"/>
  <c r="BH299" i="15"/>
  <c r="BG299" i="15"/>
  <c r="BF299" i="15"/>
  <c r="T299" i="15"/>
  <c r="R299" i="15"/>
  <c r="P299" i="15"/>
  <c r="J299" i="15"/>
  <c r="BE299" i="15" s="1"/>
  <c r="BK296" i="15"/>
  <c r="BI296" i="15"/>
  <c r="BH296" i="15"/>
  <c r="BG296" i="15"/>
  <c r="BF296" i="15"/>
  <c r="T296" i="15"/>
  <c r="R296" i="15"/>
  <c r="P296" i="15"/>
  <c r="J296" i="15"/>
  <c r="BE296" i="15" s="1"/>
  <c r="BK294" i="15"/>
  <c r="BI294" i="15"/>
  <c r="BH294" i="15"/>
  <c r="BG294" i="15"/>
  <c r="BF294" i="15"/>
  <c r="T294" i="15"/>
  <c r="R294" i="15"/>
  <c r="P294" i="15"/>
  <c r="J294" i="15"/>
  <c r="BE294" i="15" s="1"/>
  <c r="BK292" i="15"/>
  <c r="BI292" i="15"/>
  <c r="BH292" i="15"/>
  <c r="BG292" i="15"/>
  <c r="BF292" i="15"/>
  <c r="T292" i="15"/>
  <c r="R292" i="15"/>
  <c r="P292" i="15"/>
  <c r="J292" i="15"/>
  <c r="BE292" i="15" s="1"/>
  <c r="BK288" i="15"/>
  <c r="BI288" i="15"/>
  <c r="BH288" i="15"/>
  <c r="BG288" i="15"/>
  <c r="BF288" i="15"/>
  <c r="T288" i="15"/>
  <c r="R288" i="15"/>
  <c r="P288" i="15"/>
  <c r="J288" i="15"/>
  <c r="BE288" i="15" s="1"/>
  <c r="BK286" i="15"/>
  <c r="BI286" i="15"/>
  <c r="BH286" i="15"/>
  <c r="BG286" i="15"/>
  <c r="BF286" i="15"/>
  <c r="T286" i="15"/>
  <c r="R286" i="15"/>
  <c r="P286" i="15"/>
  <c r="J286" i="15"/>
  <c r="BE286" i="15" s="1"/>
  <c r="BK284" i="15"/>
  <c r="BI284" i="15"/>
  <c r="BH284" i="15"/>
  <c r="BG284" i="15"/>
  <c r="BF284" i="15"/>
  <c r="T284" i="15"/>
  <c r="R284" i="15"/>
  <c r="P284" i="15"/>
  <c r="J284" i="15"/>
  <c r="BE284" i="15" s="1"/>
  <c r="BK282" i="15"/>
  <c r="BI282" i="15"/>
  <c r="BH282" i="15"/>
  <c r="BG282" i="15"/>
  <c r="BF282" i="15"/>
  <c r="T282" i="15"/>
  <c r="R282" i="15"/>
  <c r="P282" i="15"/>
  <c r="J282" i="15"/>
  <c r="BE282" i="15" s="1"/>
  <c r="BK280" i="15"/>
  <c r="BI280" i="15"/>
  <c r="BH280" i="15"/>
  <c r="BG280" i="15"/>
  <c r="BF280" i="15"/>
  <c r="T280" i="15"/>
  <c r="R280" i="15"/>
  <c r="P280" i="15"/>
  <c r="J280" i="15"/>
  <c r="BE280" i="15" s="1"/>
  <c r="BK276" i="15"/>
  <c r="BI276" i="15"/>
  <c r="BH276" i="15"/>
  <c r="BG276" i="15"/>
  <c r="BF276" i="15"/>
  <c r="T276" i="15"/>
  <c r="R276" i="15"/>
  <c r="P276" i="15"/>
  <c r="J276" i="15"/>
  <c r="BE276" i="15" s="1"/>
  <c r="BK273" i="15"/>
  <c r="BI273" i="15"/>
  <c r="BH273" i="15"/>
  <c r="BG273" i="15"/>
  <c r="BF273" i="15"/>
  <c r="T273" i="15"/>
  <c r="R273" i="15"/>
  <c r="P273" i="15"/>
  <c r="J273" i="15"/>
  <c r="BE273" i="15" s="1"/>
  <c r="BK271" i="15"/>
  <c r="BI271" i="15"/>
  <c r="BH271" i="15"/>
  <c r="BG271" i="15"/>
  <c r="BF271" i="15"/>
  <c r="T271" i="15"/>
  <c r="R271" i="15"/>
  <c r="P271" i="15"/>
  <c r="J271" i="15"/>
  <c r="BE271" i="15" s="1"/>
  <c r="BK266" i="15"/>
  <c r="BI266" i="15"/>
  <c r="BH266" i="15"/>
  <c r="BG266" i="15"/>
  <c r="BF266" i="15"/>
  <c r="T266" i="15"/>
  <c r="R266" i="15"/>
  <c r="P266" i="15"/>
  <c r="J266" i="15"/>
  <c r="BE266" i="15" s="1"/>
  <c r="BK264" i="15"/>
  <c r="BI264" i="15"/>
  <c r="BH264" i="15"/>
  <c r="BG264" i="15"/>
  <c r="BF264" i="15"/>
  <c r="T264" i="15"/>
  <c r="R264" i="15"/>
  <c r="P264" i="15"/>
  <c r="J264" i="15"/>
  <c r="BE264" i="15" s="1"/>
  <c r="BK262" i="15"/>
  <c r="BI262" i="15"/>
  <c r="BH262" i="15"/>
  <c r="BG262" i="15"/>
  <c r="BF262" i="15"/>
  <c r="T262" i="15"/>
  <c r="R262" i="15"/>
  <c r="P262" i="15"/>
  <c r="J262" i="15"/>
  <c r="BE262" i="15" s="1"/>
  <c r="BK259" i="15"/>
  <c r="BI259" i="15"/>
  <c r="BH259" i="15"/>
  <c r="BG259" i="15"/>
  <c r="BF259" i="15"/>
  <c r="T259" i="15"/>
  <c r="R259" i="15"/>
  <c r="P259" i="15"/>
  <c r="J259" i="15"/>
  <c r="BE259" i="15" s="1"/>
  <c r="BK255" i="15"/>
  <c r="BI255" i="15"/>
  <c r="BH255" i="15"/>
  <c r="BG255" i="15"/>
  <c r="BF255" i="15"/>
  <c r="T255" i="15"/>
  <c r="R255" i="15"/>
  <c r="P255" i="15"/>
  <c r="J255" i="15"/>
  <c r="BE255" i="15" s="1"/>
  <c r="BK252" i="15"/>
  <c r="BI252" i="15"/>
  <c r="BH252" i="15"/>
  <c r="BG252" i="15"/>
  <c r="BF252" i="15"/>
  <c r="T252" i="15"/>
  <c r="R252" i="15"/>
  <c r="P252" i="15"/>
  <c r="J252" i="15"/>
  <c r="BE252" i="15" s="1"/>
  <c r="BK250" i="15"/>
  <c r="BI250" i="15"/>
  <c r="BH250" i="15"/>
  <c r="BG250" i="15"/>
  <c r="BF250" i="15"/>
  <c r="T250" i="15"/>
  <c r="R250" i="15"/>
  <c r="P250" i="15"/>
  <c r="J250" i="15"/>
  <c r="BE250" i="15" s="1"/>
  <c r="BK248" i="15"/>
  <c r="BI248" i="15"/>
  <c r="BH248" i="15"/>
  <c r="BG248" i="15"/>
  <c r="BF248" i="15"/>
  <c r="T248" i="15"/>
  <c r="R248" i="15"/>
  <c r="P248" i="15"/>
  <c r="J248" i="15"/>
  <c r="BE248" i="15" s="1"/>
  <c r="BK246" i="15"/>
  <c r="BI246" i="15"/>
  <c r="BH246" i="15"/>
  <c r="BG246" i="15"/>
  <c r="BF246" i="15"/>
  <c r="T246" i="15"/>
  <c r="R246" i="15"/>
  <c r="P246" i="15"/>
  <c r="J246" i="15"/>
  <c r="BE246" i="15" s="1"/>
  <c r="BK240" i="15"/>
  <c r="BI240" i="15"/>
  <c r="BH240" i="15"/>
  <c r="BG240" i="15"/>
  <c r="BF240" i="15"/>
  <c r="T240" i="15"/>
  <c r="R240" i="15"/>
  <c r="P240" i="15"/>
  <c r="J240" i="15"/>
  <c r="BE240" i="15" s="1"/>
  <c r="BK235" i="15"/>
  <c r="BI235" i="15"/>
  <c r="BH235" i="15"/>
  <c r="BG235" i="15"/>
  <c r="BF235" i="15"/>
  <c r="T235" i="15"/>
  <c r="R235" i="15"/>
  <c r="P235" i="15"/>
  <c r="J235" i="15"/>
  <c r="BE235" i="15" s="1"/>
  <c r="BK231" i="15"/>
  <c r="BI231" i="15"/>
  <c r="BH231" i="15"/>
  <c r="BG231" i="15"/>
  <c r="BF231" i="15"/>
  <c r="T231" i="15"/>
  <c r="R231" i="15"/>
  <c r="P231" i="15"/>
  <c r="J231" i="15"/>
  <c r="BE231" i="15" s="1"/>
  <c r="BK228" i="15"/>
  <c r="BK227" i="15" s="1"/>
  <c r="J227" i="15" s="1"/>
  <c r="J102" i="15" s="1"/>
  <c r="BI228" i="15"/>
  <c r="BH228" i="15"/>
  <c r="BG228" i="15"/>
  <c r="BF228" i="15"/>
  <c r="T228" i="15"/>
  <c r="R228" i="15"/>
  <c r="R227" i="15" s="1"/>
  <c r="P228" i="15"/>
  <c r="P227" i="15" s="1"/>
  <c r="J228" i="15"/>
  <c r="BE228" i="15" s="1"/>
  <c r="T227" i="15"/>
  <c r="BK224" i="15"/>
  <c r="BI224" i="15"/>
  <c r="BH224" i="15"/>
  <c r="BG224" i="15"/>
  <c r="BF224" i="15"/>
  <c r="T224" i="15"/>
  <c r="R224" i="15"/>
  <c r="P224" i="15"/>
  <c r="J224" i="15"/>
  <c r="BE224" i="15" s="1"/>
  <c r="BK222" i="15"/>
  <c r="BI222" i="15"/>
  <c r="BH222" i="15"/>
  <c r="BG222" i="15"/>
  <c r="BF222" i="15"/>
  <c r="T222" i="15"/>
  <c r="R222" i="15"/>
  <c r="P222" i="15"/>
  <c r="J222" i="15"/>
  <c r="BE222" i="15" s="1"/>
  <c r="BK220" i="15"/>
  <c r="BI220" i="15"/>
  <c r="BH220" i="15"/>
  <c r="BG220" i="15"/>
  <c r="BF220" i="15"/>
  <c r="T220" i="15"/>
  <c r="R220" i="15"/>
  <c r="P220" i="15"/>
  <c r="J220" i="15"/>
  <c r="BE220" i="15" s="1"/>
  <c r="BK217" i="15"/>
  <c r="BI217" i="15"/>
  <c r="BH217" i="15"/>
  <c r="BG217" i="15"/>
  <c r="BF217" i="15"/>
  <c r="T217" i="15"/>
  <c r="R217" i="15"/>
  <c r="P217" i="15"/>
  <c r="J217" i="15"/>
  <c r="BE217" i="15" s="1"/>
  <c r="BK213" i="15"/>
  <c r="BI213" i="15"/>
  <c r="BH213" i="15"/>
  <c r="BG213" i="15"/>
  <c r="BF213" i="15"/>
  <c r="T213" i="15"/>
  <c r="R213" i="15"/>
  <c r="P213" i="15"/>
  <c r="J213" i="15"/>
  <c r="BE213" i="15" s="1"/>
  <c r="H212" i="15"/>
  <c r="BK209" i="15"/>
  <c r="BI209" i="15"/>
  <c r="BH209" i="15"/>
  <c r="BG209" i="15"/>
  <c r="BF209" i="15"/>
  <c r="T209" i="15"/>
  <c r="R209" i="15"/>
  <c r="P209" i="15"/>
  <c r="J209" i="15"/>
  <c r="BE209" i="15" s="1"/>
  <c r="BK196" i="15"/>
  <c r="BI196" i="15"/>
  <c r="BH196" i="15"/>
  <c r="BG196" i="15"/>
  <c r="BF196" i="15"/>
  <c r="T196" i="15"/>
  <c r="R196" i="15"/>
  <c r="P196" i="15"/>
  <c r="J196" i="15"/>
  <c r="BE196" i="15" s="1"/>
  <c r="H194" i="15"/>
  <c r="H195" i="15" s="1"/>
  <c r="BK188" i="15"/>
  <c r="BI188" i="15"/>
  <c r="BH188" i="15"/>
  <c r="BG188" i="15"/>
  <c r="BF188" i="15"/>
  <c r="T188" i="15"/>
  <c r="R188" i="15"/>
  <c r="P188" i="15"/>
  <c r="J188" i="15"/>
  <c r="BE188" i="15" s="1"/>
  <c r="BK184" i="15"/>
  <c r="BI184" i="15"/>
  <c r="BH184" i="15"/>
  <c r="BG184" i="15"/>
  <c r="BF184" i="15"/>
  <c r="T184" i="15"/>
  <c r="R184" i="15"/>
  <c r="P184" i="15"/>
  <c r="J184" i="15"/>
  <c r="BE184" i="15" s="1"/>
  <c r="BK182" i="15"/>
  <c r="BI182" i="15"/>
  <c r="BH182" i="15"/>
  <c r="BG182" i="15"/>
  <c r="BF182" i="15"/>
  <c r="T182" i="15"/>
  <c r="R182" i="15"/>
  <c r="P182" i="15"/>
  <c r="J182" i="15"/>
  <c r="BE182" i="15" s="1"/>
  <c r="BK179" i="15"/>
  <c r="BI179" i="15"/>
  <c r="BH179" i="15"/>
  <c r="BG179" i="15"/>
  <c r="BF179" i="15"/>
  <c r="T179" i="15"/>
  <c r="R179" i="15"/>
  <c r="P179" i="15"/>
  <c r="J179" i="15"/>
  <c r="BE179" i="15" s="1"/>
  <c r="BK176" i="15"/>
  <c r="BI176" i="15"/>
  <c r="BH176" i="15"/>
  <c r="BG176" i="15"/>
  <c r="BF176" i="15"/>
  <c r="T176" i="15"/>
  <c r="R176" i="15"/>
  <c r="P176" i="15"/>
  <c r="J176" i="15"/>
  <c r="BE176" i="15" s="1"/>
  <c r="BK173" i="15"/>
  <c r="BI173" i="15"/>
  <c r="BH173" i="15"/>
  <c r="BG173" i="15"/>
  <c r="BF173" i="15"/>
  <c r="T173" i="15"/>
  <c r="R173" i="15"/>
  <c r="P173" i="15"/>
  <c r="J173" i="15"/>
  <c r="BE173" i="15" s="1"/>
  <c r="BK169" i="15"/>
  <c r="BI169" i="15"/>
  <c r="BH169" i="15"/>
  <c r="BG169" i="15"/>
  <c r="BF169" i="15"/>
  <c r="T169" i="15"/>
  <c r="R169" i="15"/>
  <c r="P169" i="15"/>
  <c r="J169" i="15"/>
  <c r="BE169" i="15" s="1"/>
  <c r="BK167" i="15"/>
  <c r="BI167" i="15"/>
  <c r="BH167" i="15"/>
  <c r="BG167" i="15"/>
  <c r="BF167" i="15"/>
  <c r="T167" i="15"/>
  <c r="R167" i="15"/>
  <c r="P167" i="15"/>
  <c r="J167" i="15"/>
  <c r="BE167" i="15" s="1"/>
  <c r="BK163" i="15"/>
  <c r="BI163" i="15"/>
  <c r="BH163" i="15"/>
  <c r="BG163" i="15"/>
  <c r="BF163" i="15"/>
  <c r="T163" i="15"/>
  <c r="R163" i="15"/>
  <c r="P163" i="15"/>
  <c r="J163" i="15"/>
  <c r="BE163" i="15" s="1"/>
  <c r="BK159" i="15"/>
  <c r="BI159" i="15"/>
  <c r="BH159" i="15"/>
  <c r="BG159" i="15"/>
  <c r="BF159" i="15"/>
  <c r="T159" i="15"/>
  <c r="R159" i="15"/>
  <c r="P159" i="15"/>
  <c r="J159" i="15"/>
  <c r="BE159" i="15" s="1"/>
  <c r="BK156" i="15"/>
  <c r="BI156" i="15"/>
  <c r="BH156" i="15"/>
  <c r="BG156" i="15"/>
  <c r="BF156" i="15"/>
  <c r="T156" i="15"/>
  <c r="R156" i="15"/>
  <c r="P156" i="15"/>
  <c r="J156" i="15"/>
  <c r="BE156" i="15" s="1"/>
  <c r="H151" i="15"/>
  <c r="H154" i="15" s="1"/>
  <c r="H155" i="15" s="1"/>
  <c r="BK146" i="15"/>
  <c r="BI146" i="15"/>
  <c r="BH146" i="15"/>
  <c r="BG146" i="15"/>
  <c r="BF146" i="15"/>
  <c r="T146" i="15"/>
  <c r="R146" i="15"/>
  <c r="P146" i="15"/>
  <c r="J146" i="15"/>
  <c r="BE146" i="15" s="1"/>
  <c r="BK143" i="15"/>
  <c r="BI143" i="15"/>
  <c r="BH143" i="15"/>
  <c r="BG143" i="15"/>
  <c r="BF143" i="15"/>
  <c r="T143" i="15"/>
  <c r="R143" i="15"/>
  <c r="P143" i="15"/>
  <c r="J143" i="15"/>
  <c r="BE143" i="15" s="1"/>
  <c r="BK140" i="15"/>
  <c r="BI140" i="15"/>
  <c r="BH140" i="15"/>
  <c r="BG140" i="15"/>
  <c r="BF140" i="15"/>
  <c r="T140" i="15"/>
  <c r="R140" i="15"/>
  <c r="P140" i="15"/>
  <c r="J140" i="15"/>
  <c r="BE140" i="15" s="1"/>
  <c r="BK138" i="15"/>
  <c r="BI138" i="15"/>
  <c r="BH138" i="15"/>
  <c r="BG138" i="15"/>
  <c r="BF138" i="15"/>
  <c r="T138" i="15"/>
  <c r="R138" i="15"/>
  <c r="P138" i="15"/>
  <c r="J138" i="15"/>
  <c r="BE138" i="15" s="1"/>
  <c r="BK135" i="15"/>
  <c r="BI135" i="15"/>
  <c r="BH135" i="15"/>
  <c r="BG135" i="15"/>
  <c r="BF135" i="15"/>
  <c r="T135" i="15"/>
  <c r="R135" i="15"/>
  <c r="P135" i="15"/>
  <c r="J135" i="15"/>
  <c r="BE135" i="15" s="1"/>
  <c r="J128" i="15"/>
  <c r="F128" i="15"/>
  <c r="F126" i="15"/>
  <c r="E124" i="15"/>
  <c r="J94" i="15"/>
  <c r="F94" i="15"/>
  <c r="F92" i="15"/>
  <c r="E90" i="15"/>
  <c r="J41" i="15"/>
  <c r="J40" i="15"/>
  <c r="J39" i="15"/>
  <c r="J28" i="15"/>
  <c r="E28" i="15"/>
  <c r="J95" i="15" s="1"/>
  <c r="J27" i="15"/>
  <c r="J22" i="15"/>
  <c r="E22" i="15"/>
  <c r="F129" i="15" s="1"/>
  <c r="J21" i="15"/>
  <c r="J16" i="15"/>
  <c r="J92" i="15" s="1"/>
  <c r="E7" i="15"/>
  <c r="E118" i="15" s="1"/>
  <c r="BK309" i="13"/>
  <c r="BI309" i="13"/>
  <c r="BH309" i="13"/>
  <c r="BG309" i="13"/>
  <c r="BF309" i="13"/>
  <c r="T309" i="13"/>
  <c r="T308" i="13" s="1"/>
  <c r="R309" i="13"/>
  <c r="R308" i="13" s="1"/>
  <c r="P309" i="13"/>
  <c r="J309" i="13"/>
  <c r="BE309" i="13" s="1"/>
  <c r="BK308" i="13"/>
  <c r="J308" i="13" s="1"/>
  <c r="J107" i="13" s="1"/>
  <c r="P308" i="13"/>
  <c r="BK305" i="13"/>
  <c r="BI305" i="13"/>
  <c r="BH305" i="13"/>
  <c r="BG305" i="13"/>
  <c r="BF305" i="13"/>
  <c r="T305" i="13"/>
  <c r="R305" i="13"/>
  <c r="P305" i="13"/>
  <c r="J305" i="13"/>
  <c r="BE305" i="13" s="1"/>
  <c r="BK302" i="13"/>
  <c r="BI302" i="13"/>
  <c r="BH302" i="13"/>
  <c r="BG302" i="13"/>
  <c r="BF302" i="13"/>
  <c r="T302" i="13"/>
  <c r="R302" i="13"/>
  <c r="P302" i="13"/>
  <c r="J302" i="13"/>
  <c r="BE302" i="13" s="1"/>
  <c r="BK300" i="13"/>
  <c r="BI300" i="13"/>
  <c r="BH300" i="13"/>
  <c r="BG300" i="13"/>
  <c r="BF300" i="13"/>
  <c r="T300" i="13"/>
  <c r="R300" i="13"/>
  <c r="P300" i="13"/>
  <c r="J300" i="13"/>
  <c r="BE300" i="13" s="1"/>
  <c r="BK294" i="13"/>
  <c r="BI294" i="13"/>
  <c r="BH294" i="13"/>
  <c r="BG294" i="13"/>
  <c r="BF294" i="13"/>
  <c r="T294" i="13"/>
  <c r="R294" i="13"/>
  <c r="P294" i="13"/>
  <c r="J294" i="13"/>
  <c r="BE294" i="13" s="1"/>
  <c r="BK289" i="13"/>
  <c r="BI289" i="13"/>
  <c r="BH289" i="13"/>
  <c r="BG289" i="13"/>
  <c r="BF289" i="13"/>
  <c r="T289" i="13"/>
  <c r="R289" i="13"/>
  <c r="P289" i="13"/>
  <c r="J289" i="13"/>
  <c r="BE289" i="13" s="1"/>
  <c r="BK286" i="13"/>
  <c r="BI286" i="13"/>
  <c r="BH286" i="13"/>
  <c r="BG286" i="13"/>
  <c r="BF286" i="13"/>
  <c r="T286" i="13"/>
  <c r="R286" i="13"/>
  <c r="P286" i="13"/>
  <c r="J286" i="13"/>
  <c r="BE286" i="13" s="1"/>
  <c r="BK284" i="13"/>
  <c r="BI284" i="13"/>
  <c r="BH284" i="13"/>
  <c r="BG284" i="13"/>
  <c r="BF284" i="13"/>
  <c r="T284" i="13"/>
  <c r="R284" i="13"/>
  <c r="P284" i="13"/>
  <c r="J284" i="13"/>
  <c r="BE284" i="13" s="1"/>
  <c r="BK282" i="13"/>
  <c r="BI282" i="13"/>
  <c r="BH282" i="13"/>
  <c r="BG282" i="13"/>
  <c r="BF282" i="13"/>
  <c r="T282" i="13"/>
  <c r="R282" i="13"/>
  <c r="P282" i="13"/>
  <c r="J282" i="13"/>
  <c r="BE282" i="13" s="1"/>
  <c r="BK280" i="13"/>
  <c r="BI280" i="13"/>
  <c r="BH280" i="13"/>
  <c r="BG280" i="13"/>
  <c r="BF280" i="13"/>
  <c r="T280" i="13"/>
  <c r="R280" i="13"/>
  <c r="P280" i="13"/>
  <c r="J280" i="13"/>
  <c r="BE280" i="13" s="1"/>
  <c r="BK276" i="13"/>
  <c r="BI276" i="13"/>
  <c r="BH276" i="13"/>
  <c r="BG276" i="13"/>
  <c r="BF276" i="13"/>
  <c r="T276" i="13"/>
  <c r="R276" i="13"/>
  <c r="P276" i="13"/>
  <c r="J276" i="13"/>
  <c r="BE276" i="13" s="1"/>
  <c r="BK273" i="13"/>
  <c r="BI273" i="13"/>
  <c r="BH273" i="13"/>
  <c r="BG273" i="13"/>
  <c r="BF273" i="13"/>
  <c r="T273" i="13"/>
  <c r="R273" i="13"/>
  <c r="P273" i="13"/>
  <c r="J273" i="13"/>
  <c r="BE273" i="13" s="1"/>
  <c r="BK271" i="13"/>
  <c r="BI271" i="13"/>
  <c r="BH271" i="13"/>
  <c r="BG271" i="13"/>
  <c r="BF271" i="13"/>
  <c r="T271" i="13"/>
  <c r="R271" i="13"/>
  <c r="P271" i="13"/>
  <c r="J271" i="13"/>
  <c r="BE271" i="13" s="1"/>
  <c r="BK266" i="13"/>
  <c r="BI266" i="13"/>
  <c r="BH266" i="13"/>
  <c r="BG266" i="13"/>
  <c r="BF266" i="13"/>
  <c r="T266" i="13"/>
  <c r="R266" i="13"/>
  <c r="P266" i="13"/>
  <c r="J266" i="13"/>
  <c r="BE266" i="13" s="1"/>
  <c r="BK264" i="13"/>
  <c r="BI264" i="13"/>
  <c r="BH264" i="13"/>
  <c r="BG264" i="13"/>
  <c r="BF264" i="13"/>
  <c r="T264" i="13"/>
  <c r="R264" i="13"/>
  <c r="P264" i="13"/>
  <c r="J264" i="13"/>
  <c r="BE264" i="13" s="1"/>
  <c r="BK262" i="13"/>
  <c r="BI262" i="13"/>
  <c r="BH262" i="13"/>
  <c r="BG262" i="13"/>
  <c r="BF262" i="13"/>
  <c r="T262" i="13"/>
  <c r="R262" i="13"/>
  <c r="P262" i="13"/>
  <c r="J262" i="13"/>
  <c r="BE262" i="13" s="1"/>
  <c r="BK259" i="13"/>
  <c r="BI259" i="13"/>
  <c r="BH259" i="13"/>
  <c r="BG259" i="13"/>
  <c r="BF259" i="13"/>
  <c r="T259" i="13"/>
  <c r="R259" i="13"/>
  <c r="P259" i="13"/>
  <c r="J259" i="13"/>
  <c r="BE259" i="13" s="1"/>
  <c r="BK255" i="13"/>
  <c r="BI255" i="13"/>
  <c r="BH255" i="13"/>
  <c r="BG255" i="13"/>
  <c r="BF255" i="13"/>
  <c r="T255" i="13"/>
  <c r="R255" i="13"/>
  <c r="P255" i="13"/>
  <c r="J255" i="13"/>
  <c r="BE255" i="13" s="1"/>
  <c r="BK251" i="13"/>
  <c r="BI251" i="13"/>
  <c r="BH251" i="13"/>
  <c r="BG251" i="13"/>
  <c r="BF251" i="13"/>
  <c r="T251" i="13"/>
  <c r="R251" i="13"/>
  <c r="P251" i="13"/>
  <c r="J251" i="13"/>
  <c r="BE251" i="13" s="1"/>
  <c r="BK249" i="13"/>
  <c r="BI249" i="13"/>
  <c r="BH249" i="13"/>
  <c r="BG249" i="13"/>
  <c r="BF249" i="13"/>
  <c r="T249" i="13"/>
  <c r="R249" i="13"/>
  <c r="P249" i="13"/>
  <c r="J249" i="13"/>
  <c r="BE249" i="13" s="1"/>
  <c r="BK247" i="13"/>
  <c r="BI247" i="13"/>
  <c r="BH247" i="13"/>
  <c r="BG247" i="13"/>
  <c r="BF247" i="13"/>
  <c r="T247" i="13"/>
  <c r="R247" i="13"/>
  <c r="P247" i="13"/>
  <c r="J247" i="13"/>
  <c r="BE247" i="13" s="1"/>
  <c r="BK245" i="13"/>
  <c r="BI245" i="13"/>
  <c r="BH245" i="13"/>
  <c r="BG245" i="13"/>
  <c r="BF245" i="13"/>
  <c r="T245" i="13"/>
  <c r="R245" i="13"/>
  <c r="P245" i="13"/>
  <c r="J245" i="13"/>
  <c r="BE245" i="13" s="1"/>
  <c r="BK239" i="13"/>
  <c r="BI239" i="13"/>
  <c r="BH239" i="13"/>
  <c r="BG239" i="13"/>
  <c r="BF239" i="13"/>
  <c r="T239" i="13"/>
  <c r="R239" i="13"/>
  <c r="P239" i="13"/>
  <c r="J239" i="13"/>
  <c r="BE239" i="13" s="1"/>
  <c r="BK234" i="13"/>
  <c r="BI234" i="13"/>
  <c r="BH234" i="13"/>
  <c r="BG234" i="13"/>
  <c r="BF234" i="13"/>
  <c r="T234" i="13"/>
  <c r="R234" i="13"/>
  <c r="P234" i="13"/>
  <c r="J234" i="13"/>
  <c r="BE234" i="13" s="1"/>
  <c r="BK230" i="13"/>
  <c r="BI230" i="13"/>
  <c r="BH230" i="13"/>
  <c r="BG230" i="13"/>
  <c r="BF230" i="13"/>
  <c r="T230" i="13"/>
  <c r="R230" i="13"/>
  <c r="P230" i="13"/>
  <c r="J230" i="13"/>
  <c r="BE230" i="13" s="1"/>
  <c r="BK227" i="13"/>
  <c r="BK226" i="13" s="1"/>
  <c r="J226" i="13" s="1"/>
  <c r="J102" i="13" s="1"/>
  <c r="BI227" i="13"/>
  <c r="BH227" i="13"/>
  <c r="BG227" i="13"/>
  <c r="BF227" i="13"/>
  <c r="T227" i="13"/>
  <c r="T226" i="13" s="1"/>
  <c r="R227" i="13"/>
  <c r="R226" i="13" s="1"/>
  <c r="P227" i="13"/>
  <c r="P226" i="13" s="1"/>
  <c r="J227" i="13"/>
  <c r="BE227" i="13" s="1"/>
  <c r="BI223" i="13"/>
  <c r="BH223" i="13"/>
  <c r="BG223" i="13"/>
  <c r="BF223" i="13"/>
  <c r="R223" i="13"/>
  <c r="BK220" i="13"/>
  <c r="BI220" i="13"/>
  <c r="BH220" i="13"/>
  <c r="BG220" i="13"/>
  <c r="BF220" i="13"/>
  <c r="T220" i="13"/>
  <c r="R220" i="13"/>
  <c r="P220" i="13"/>
  <c r="J220" i="13"/>
  <c r="BE220" i="13" s="1"/>
  <c r="BK218" i="13"/>
  <c r="BI218" i="13"/>
  <c r="BH218" i="13"/>
  <c r="BG218" i="13"/>
  <c r="BF218" i="13"/>
  <c r="T218" i="13"/>
  <c r="R218" i="13"/>
  <c r="P218" i="13"/>
  <c r="J218" i="13"/>
  <c r="BE218" i="13" s="1"/>
  <c r="BK215" i="13"/>
  <c r="BI215" i="13"/>
  <c r="BH215" i="13"/>
  <c r="BG215" i="13"/>
  <c r="BF215" i="13"/>
  <c r="T215" i="13"/>
  <c r="R215" i="13"/>
  <c r="P215" i="13"/>
  <c r="J215" i="13"/>
  <c r="BE215" i="13" s="1"/>
  <c r="BK211" i="13"/>
  <c r="BI211" i="13"/>
  <c r="BH211" i="13"/>
  <c r="BG211" i="13"/>
  <c r="BF211" i="13"/>
  <c r="T211" i="13"/>
  <c r="R211" i="13"/>
  <c r="P211" i="13"/>
  <c r="J211" i="13"/>
  <c r="BE211" i="13" s="1"/>
  <c r="H210" i="13"/>
  <c r="BK207" i="13"/>
  <c r="BI207" i="13"/>
  <c r="BH207" i="13"/>
  <c r="BG207" i="13"/>
  <c r="BF207" i="13"/>
  <c r="T207" i="13"/>
  <c r="R207" i="13"/>
  <c r="P207" i="13"/>
  <c r="J207" i="13"/>
  <c r="BE207" i="13" s="1"/>
  <c r="H206" i="13"/>
  <c r="BK194" i="13"/>
  <c r="BI194" i="13"/>
  <c r="BH194" i="13"/>
  <c r="BG194" i="13"/>
  <c r="BF194" i="13"/>
  <c r="T194" i="13"/>
  <c r="R194" i="13"/>
  <c r="P194" i="13"/>
  <c r="J194" i="13"/>
  <c r="BE194" i="13" s="1"/>
  <c r="H192" i="13"/>
  <c r="H193" i="13" s="1"/>
  <c r="BK186" i="13"/>
  <c r="BI186" i="13"/>
  <c r="BH186" i="13"/>
  <c r="BG186" i="13"/>
  <c r="BF186" i="13"/>
  <c r="T186" i="13"/>
  <c r="R186" i="13"/>
  <c r="P186" i="13"/>
  <c r="J186" i="13"/>
  <c r="BE186" i="13" s="1"/>
  <c r="BK182" i="13"/>
  <c r="BI182" i="13"/>
  <c r="BH182" i="13"/>
  <c r="BG182" i="13"/>
  <c r="BF182" i="13"/>
  <c r="T182" i="13"/>
  <c r="R182" i="13"/>
  <c r="P182" i="13"/>
  <c r="J182" i="13"/>
  <c r="BE182" i="13" s="1"/>
  <c r="BK180" i="13"/>
  <c r="BI180" i="13"/>
  <c r="BH180" i="13"/>
  <c r="BG180" i="13"/>
  <c r="BF180" i="13"/>
  <c r="T180" i="13"/>
  <c r="R180" i="13"/>
  <c r="P180" i="13"/>
  <c r="J180" i="13"/>
  <c r="BE180" i="13" s="1"/>
  <c r="BK177" i="13"/>
  <c r="BI177" i="13"/>
  <c r="BH177" i="13"/>
  <c r="BG177" i="13"/>
  <c r="BF177" i="13"/>
  <c r="T177" i="13"/>
  <c r="R177" i="13"/>
  <c r="P177" i="13"/>
  <c r="J177" i="13"/>
  <c r="BE177" i="13" s="1"/>
  <c r="BK174" i="13"/>
  <c r="BI174" i="13"/>
  <c r="BH174" i="13"/>
  <c r="BG174" i="13"/>
  <c r="BF174" i="13"/>
  <c r="T174" i="13"/>
  <c r="R174" i="13"/>
  <c r="P174" i="13"/>
  <c r="J174" i="13"/>
  <c r="BE174" i="13" s="1"/>
  <c r="BK171" i="13"/>
  <c r="BI171" i="13"/>
  <c r="BH171" i="13"/>
  <c r="BG171" i="13"/>
  <c r="BF171" i="13"/>
  <c r="T171" i="13"/>
  <c r="R171" i="13"/>
  <c r="P171" i="13"/>
  <c r="J171" i="13"/>
  <c r="BE171" i="13" s="1"/>
  <c r="BK168" i="13"/>
  <c r="BI168" i="13"/>
  <c r="BH168" i="13"/>
  <c r="BG168" i="13"/>
  <c r="BF168" i="13"/>
  <c r="T168" i="13"/>
  <c r="R168" i="13"/>
  <c r="P168" i="13"/>
  <c r="J168" i="13"/>
  <c r="BE168" i="13" s="1"/>
  <c r="BK166" i="13"/>
  <c r="BI166" i="13"/>
  <c r="BH166" i="13"/>
  <c r="BG166" i="13"/>
  <c r="BF166" i="13"/>
  <c r="T166" i="13"/>
  <c r="R166" i="13"/>
  <c r="P166" i="13"/>
  <c r="J166" i="13"/>
  <c r="BE166" i="13" s="1"/>
  <c r="BK162" i="13"/>
  <c r="BI162" i="13"/>
  <c r="BH162" i="13"/>
  <c r="BG162" i="13"/>
  <c r="BF162" i="13"/>
  <c r="T162" i="13"/>
  <c r="R162" i="13"/>
  <c r="P162" i="13"/>
  <c r="J162" i="13"/>
  <c r="BE162" i="13" s="1"/>
  <c r="BK158" i="13"/>
  <c r="BI158" i="13"/>
  <c r="BH158" i="13"/>
  <c r="BG158" i="13"/>
  <c r="BF158" i="13"/>
  <c r="T158" i="13"/>
  <c r="R158" i="13"/>
  <c r="P158" i="13"/>
  <c r="J158" i="13"/>
  <c r="BE158" i="13" s="1"/>
  <c r="BK155" i="13"/>
  <c r="BI155" i="13"/>
  <c r="BH155" i="13"/>
  <c r="BG155" i="13"/>
  <c r="BF155" i="13"/>
  <c r="T155" i="13"/>
  <c r="R155" i="13"/>
  <c r="P155" i="13"/>
  <c r="J155" i="13"/>
  <c r="BE155" i="13" s="1"/>
  <c r="H153" i="13"/>
  <c r="H154" i="13" s="1"/>
  <c r="BK146" i="13"/>
  <c r="BI146" i="13"/>
  <c r="BH146" i="13"/>
  <c r="BG146" i="13"/>
  <c r="BF146" i="13"/>
  <c r="T146" i="13"/>
  <c r="R146" i="13"/>
  <c r="P146" i="13"/>
  <c r="J146" i="13"/>
  <c r="BE146" i="13" s="1"/>
  <c r="BK142" i="13"/>
  <c r="BI142" i="13"/>
  <c r="BH142" i="13"/>
  <c r="BG142" i="13"/>
  <c r="BF142" i="13"/>
  <c r="T142" i="13"/>
  <c r="R142" i="13"/>
  <c r="P142" i="13"/>
  <c r="J142" i="13"/>
  <c r="BE142" i="13" s="1"/>
  <c r="BK139" i="13"/>
  <c r="BI139" i="13"/>
  <c r="BH139" i="13"/>
  <c r="BG139" i="13"/>
  <c r="BF139" i="13"/>
  <c r="T139" i="13"/>
  <c r="R139" i="13"/>
  <c r="P139" i="13"/>
  <c r="J139" i="13"/>
  <c r="BE139" i="13" s="1"/>
  <c r="BK137" i="13"/>
  <c r="BI137" i="13"/>
  <c r="BH137" i="13"/>
  <c r="BG137" i="13"/>
  <c r="BF137" i="13"/>
  <c r="T137" i="13"/>
  <c r="R137" i="13"/>
  <c r="P137" i="13"/>
  <c r="J137" i="13"/>
  <c r="BE137" i="13" s="1"/>
  <c r="BK134" i="13"/>
  <c r="BI134" i="13"/>
  <c r="BH134" i="13"/>
  <c r="BG134" i="13"/>
  <c r="BF134" i="13"/>
  <c r="T134" i="13"/>
  <c r="R134" i="13"/>
  <c r="P134" i="13"/>
  <c r="J134" i="13"/>
  <c r="BE134" i="13" s="1"/>
  <c r="J127" i="13"/>
  <c r="F127" i="13"/>
  <c r="F125" i="13"/>
  <c r="E123" i="13"/>
  <c r="J94" i="13"/>
  <c r="F94" i="13"/>
  <c r="F92" i="13"/>
  <c r="E90" i="13"/>
  <c r="J41" i="13"/>
  <c r="J40" i="13"/>
  <c r="J39" i="13"/>
  <c r="J28" i="13"/>
  <c r="E28" i="13"/>
  <c r="J128" i="13" s="1"/>
  <c r="J27" i="13"/>
  <c r="J22" i="13"/>
  <c r="E22" i="13"/>
  <c r="F95" i="13" s="1"/>
  <c r="J21" i="13"/>
  <c r="J16" i="13"/>
  <c r="J125" i="13" s="1"/>
  <c r="E7" i="13"/>
  <c r="E117" i="13" s="1"/>
  <c r="BK317" i="12"/>
  <c r="BK316" i="12" s="1"/>
  <c r="J316" i="12" s="1"/>
  <c r="BI317" i="12"/>
  <c r="BH317" i="12"/>
  <c r="BG317" i="12"/>
  <c r="BF317" i="12"/>
  <c r="T317" i="12"/>
  <c r="R317" i="12"/>
  <c r="P317" i="12"/>
  <c r="P316" i="12" s="1"/>
  <c r="J317" i="12"/>
  <c r="BE317" i="12" s="1"/>
  <c r="T316" i="12"/>
  <c r="R316" i="12"/>
  <c r="BK313" i="12"/>
  <c r="BK296" i="12" s="1"/>
  <c r="J296" i="12" s="1"/>
  <c r="J106" i="12" s="1"/>
  <c r="BI313" i="12"/>
  <c r="BH313" i="12"/>
  <c r="BG313" i="12"/>
  <c r="BF313" i="12"/>
  <c r="T313" i="12"/>
  <c r="R313" i="12"/>
  <c r="P313" i="12"/>
  <c r="J313" i="12"/>
  <c r="BE313" i="12" s="1"/>
  <c r="BK310" i="12"/>
  <c r="BI310" i="12"/>
  <c r="BH310" i="12"/>
  <c r="BG310" i="12"/>
  <c r="BF310" i="12"/>
  <c r="T310" i="12"/>
  <c r="R310" i="12"/>
  <c r="P310" i="12"/>
  <c r="J310" i="12"/>
  <c r="BE310" i="12" s="1"/>
  <c r="BK308" i="12"/>
  <c r="BI308" i="12"/>
  <c r="BH308" i="12"/>
  <c r="BG308" i="12"/>
  <c r="BF308" i="12"/>
  <c r="T308" i="12"/>
  <c r="R308" i="12"/>
  <c r="P308" i="12"/>
  <c r="J308" i="12"/>
  <c r="BE308" i="12" s="1"/>
  <c r="BK302" i="12"/>
  <c r="BI302" i="12"/>
  <c r="BH302" i="12"/>
  <c r="BG302" i="12"/>
  <c r="BF302" i="12"/>
  <c r="T302" i="12"/>
  <c r="R302" i="12"/>
  <c r="P302" i="12"/>
  <c r="J302" i="12"/>
  <c r="BE302" i="12" s="1"/>
  <c r="BK297" i="12"/>
  <c r="BI297" i="12"/>
  <c r="BH297" i="12"/>
  <c r="BG297" i="12"/>
  <c r="BF297" i="12"/>
  <c r="T297" i="12"/>
  <c r="R297" i="12"/>
  <c r="P297" i="12"/>
  <c r="J297" i="12"/>
  <c r="BE297" i="12" s="1"/>
  <c r="BK294" i="12"/>
  <c r="BI294" i="12"/>
  <c r="BH294" i="12"/>
  <c r="BG294" i="12"/>
  <c r="BF294" i="12"/>
  <c r="T294" i="12"/>
  <c r="R294" i="12"/>
  <c r="P294" i="12"/>
  <c r="J294" i="12"/>
  <c r="BE294" i="12" s="1"/>
  <c r="BK292" i="12"/>
  <c r="BI292" i="12"/>
  <c r="BH292" i="12"/>
  <c r="BG292" i="12"/>
  <c r="BF292" i="12"/>
  <c r="T292" i="12"/>
  <c r="R292" i="12"/>
  <c r="P292" i="12"/>
  <c r="J292" i="12"/>
  <c r="BE292" i="12" s="1"/>
  <c r="BK290" i="12"/>
  <c r="BI290" i="12"/>
  <c r="BH290" i="12"/>
  <c r="BG290" i="12"/>
  <c r="BF290" i="12"/>
  <c r="T290" i="12"/>
  <c r="R290" i="12"/>
  <c r="P290" i="12"/>
  <c r="J290" i="12"/>
  <c r="BE290" i="12" s="1"/>
  <c r="BK288" i="12"/>
  <c r="BI288" i="12"/>
  <c r="BH288" i="12"/>
  <c r="BG288" i="12"/>
  <c r="BF288" i="12"/>
  <c r="T288" i="12"/>
  <c r="R288" i="12"/>
  <c r="P288" i="12"/>
  <c r="J288" i="12"/>
  <c r="BE288" i="12" s="1"/>
  <c r="BK284" i="12"/>
  <c r="BI284" i="12"/>
  <c r="BH284" i="12"/>
  <c r="BG284" i="12"/>
  <c r="BF284" i="12"/>
  <c r="T284" i="12"/>
  <c r="R284" i="12"/>
  <c r="P284" i="12"/>
  <c r="J284" i="12"/>
  <c r="BE284" i="12" s="1"/>
  <c r="BK281" i="12"/>
  <c r="BI281" i="12"/>
  <c r="BH281" i="12"/>
  <c r="BG281" i="12"/>
  <c r="BF281" i="12"/>
  <c r="T281" i="12"/>
  <c r="R281" i="12"/>
  <c r="P281" i="12"/>
  <c r="J281" i="12"/>
  <c r="BE281" i="12" s="1"/>
  <c r="BK279" i="12"/>
  <c r="BI279" i="12"/>
  <c r="BH279" i="12"/>
  <c r="BG279" i="12"/>
  <c r="BF279" i="12"/>
  <c r="T279" i="12"/>
  <c r="R279" i="12"/>
  <c r="P279" i="12"/>
  <c r="J279" i="12"/>
  <c r="BE279" i="12" s="1"/>
  <c r="BK274" i="12"/>
  <c r="BI274" i="12"/>
  <c r="BH274" i="12"/>
  <c r="BG274" i="12"/>
  <c r="BF274" i="12"/>
  <c r="T274" i="12"/>
  <c r="R274" i="12"/>
  <c r="P274" i="12"/>
  <c r="J274" i="12"/>
  <c r="BE274" i="12" s="1"/>
  <c r="BK272" i="12"/>
  <c r="BI272" i="12"/>
  <c r="BH272" i="12"/>
  <c r="BG272" i="12"/>
  <c r="BF272" i="12"/>
  <c r="T272" i="12"/>
  <c r="R272" i="12"/>
  <c r="P272" i="12"/>
  <c r="J272" i="12"/>
  <c r="BE272" i="12" s="1"/>
  <c r="BK270" i="12"/>
  <c r="BI270" i="12"/>
  <c r="BH270" i="12"/>
  <c r="BG270" i="12"/>
  <c r="BF270" i="12"/>
  <c r="T270" i="12"/>
  <c r="R270" i="12"/>
  <c r="P270" i="12"/>
  <c r="J270" i="12"/>
  <c r="BE270" i="12" s="1"/>
  <c r="BK266" i="12"/>
  <c r="BI266" i="12"/>
  <c r="BH266" i="12"/>
  <c r="BG266" i="12"/>
  <c r="BF266" i="12"/>
  <c r="T266" i="12"/>
  <c r="R266" i="12"/>
  <c r="P266" i="12"/>
  <c r="J266" i="12"/>
  <c r="BE266" i="12" s="1"/>
  <c r="BK262" i="12"/>
  <c r="BI262" i="12"/>
  <c r="BH262" i="12"/>
  <c r="BG262" i="12"/>
  <c r="BF262" i="12"/>
  <c r="T262" i="12"/>
  <c r="R262" i="12"/>
  <c r="P262" i="12"/>
  <c r="J262" i="12"/>
  <c r="BE262" i="12" s="1"/>
  <c r="BK256" i="12"/>
  <c r="BI256" i="12"/>
  <c r="BH256" i="12"/>
  <c r="BG256" i="12"/>
  <c r="BF256" i="12"/>
  <c r="T256" i="12"/>
  <c r="R256" i="12"/>
  <c r="P256" i="12"/>
  <c r="J256" i="12"/>
  <c r="BE256" i="12" s="1"/>
  <c r="BK254" i="12"/>
  <c r="BI254" i="12"/>
  <c r="BH254" i="12"/>
  <c r="BG254" i="12"/>
  <c r="BF254" i="12"/>
  <c r="T254" i="12"/>
  <c r="R254" i="12"/>
  <c r="R249" i="12" s="1"/>
  <c r="P254" i="12"/>
  <c r="J254" i="12"/>
  <c r="BE254" i="12" s="1"/>
  <c r="BK252" i="12"/>
  <c r="BI252" i="12"/>
  <c r="BH252" i="12"/>
  <c r="BG252" i="12"/>
  <c r="BF252" i="12"/>
  <c r="T252" i="12"/>
  <c r="T249" i="12" s="1"/>
  <c r="R252" i="12"/>
  <c r="P252" i="12"/>
  <c r="J252" i="12"/>
  <c r="BE252" i="12" s="1"/>
  <c r="BK250" i="12"/>
  <c r="BI250" i="12"/>
  <c r="BH250" i="12"/>
  <c r="BG250" i="12"/>
  <c r="BF250" i="12"/>
  <c r="T250" i="12"/>
  <c r="R250" i="12"/>
  <c r="P250" i="12"/>
  <c r="J250" i="12"/>
  <c r="BE250" i="12" s="1"/>
  <c r="H248" i="12"/>
  <c r="BK244" i="12"/>
  <c r="BI244" i="12"/>
  <c r="BH244" i="12"/>
  <c r="BG244" i="12"/>
  <c r="BF244" i="12"/>
  <c r="T244" i="12"/>
  <c r="R244" i="12"/>
  <c r="P244" i="12"/>
  <c r="J244" i="12"/>
  <c r="BE244" i="12" s="1"/>
  <c r="H243" i="12"/>
  <c r="BK239" i="12"/>
  <c r="BI239" i="12"/>
  <c r="BH239" i="12"/>
  <c r="BG239" i="12"/>
  <c r="BF239" i="12"/>
  <c r="T239" i="12"/>
  <c r="R239" i="12"/>
  <c r="P239" i="12"/>
  <c r="J239" i="12"/>
  <c r="BE239" i="12" s="1"/>
  <c r="BK235" i="12"/>
  <c r="BI235" i="12"/>
  <c r="BH235" i="12"/>
  <c r="BG235" i="12"/>
  <c r="BF235" i="12"/>
  <c r="T235" i="12"/>
  <c r="T234" i="12" s="1"/>
  <c r="R235" i="12"/>
  <c r="P235" i="12"/>
  <c r="J235" i="12"/>
  <c r="BE235" i="12" s="1"/>
  <c r="BK230" i="12"/>
  <c r="BK229" i="12" s="1"/>
  <c r="J229" i="12" s="1"/>
  <c r="J102" i="12" s="1"/>
  <c r="BI230" i="12"/>
  <c r="BH230" i="12"/>
  <c r="BG230" i="12"/>
  <c r="BF230" i="12"/>
  <c r="T230" i="12"/>
  <c r="R230" i="12"/>
  <c r="R229" i="12" s="1"/>
  <c r="P230" i="12"/>
  <c r="P229" i="12" s="1"/>
  <c r="J230" i="12"/>
  <c r="BE230" i="12" s="1"/>
  <c r="T229" i="12"/>
  <c r="BK226" i="12"/>
  <c r="BI226" i="12"/>
  <c r="BH226" i="12"/>
  <c r="BG226" i="12"/>
  <c r="BF226" i="12"/>
  <c r="T226" i="12"/>
  <c r="R226" i="12"/>
  <c r="P226" i="12"/>
  <c r="J226" i="12"/>
  <c r="BE226" i="12" s="1"/>
  <c r="BK224" i="12"/>
  <c r="BI224" i="12"/>
  <c r="BH224" i="12"/>
  <c r="BG224" i="12"/>
  <c r="BF224" i="12"/>
  <c r="T224" i="12"/>
  <c r="R224" i="12"/>
  <c r="P224" i="12"/>
  <c r="J224" i="12"/>
  <c r="BE224" i="12" s="1"/>
  <c r="BK222" i="12"/>
  <c r="BI222" i="12"/>
  <c r="BH222" i="12"/>
  <c r="BG222" i="12"/>
  <c r="BF222" i="12"/>
  <c r="T222" i="12"/>
  <c r="R222" i="12"/>
  <c r="P222" i="12"/>
  <c r="J222" i="12"/>
  <c r="BE222" i="12" s="1"/>
  <c r="BK219" i="12"/>
  <c r="BI219" i="12"/>
  <c r="BH219" i="12"/>
  <c r="BG219" i="12"/>
  <c r="BF219" i="12"/>
  <c r="T219" i="12"/>
  <c r="R219" i="12"/>
  <c r="P219" i="12"/>
  <c r="J219" i="12"/>
  <c r="BE219" i="12" s="1"/>
  <c r="BK215" i="12"/>
  <c r="BI215" i="12"/>
  <c r="BH215" i="12"/>
  <c r="BG215" i="12"/>
  <c r="BF215" i="12"/>
  <c r="T215" i="12"/>
  <c r="R215" i="12"/>
  <c r="P215" i="12"/>
  <c r="J215" i="12"/>
  <c r="BE215" i="12" s="1"/>
  <c r="H214" i="12"/>
  <c r="BK211" i="12"/>
  <c r="BI211" i="12"/>
  <c r="BH211" i="12"/>
  <c r="BG211" i="12"/>
  <c r="BF211" i="12"/>
  <c r="T211" i="12"/>
  <c r="R211" i="12"/>
  <c r="P211" i="12"/>
  <c r="J211" i="12"/>
  <c r="BE211" i="12" s="1"/>
  <c r="H210" i="12"/>
  <c r="BK197" i="12"/>
  <c r="BI197" i="12"/>
  <c r="BH197" i="12"/>
  <c r="BG197" i="12"/>
  <c r="BF197" i="12"/>
  <c r="T197" i="12"/>
  <c r="R197" i="12"/>
  <c r="P197" i="12"/>
  <c r="J197" i="12"/>
  <c r="BE197" i="12" s="1"/>
  <c r="H195" i="12"/>
  <c r="BK189" i="12"/>
  <c r="BI189" i="12"/>
  <c r="BH189" i="12"/>
  <c r="BG189" i="12"/>
  <c r="BF189" i="12"/>
  <c r="T189" i="12"/>
  <c r="R189" i="12"/>
  <c r="P189" i="12"/>
  <c r="J189" i="12"/>
  <c r="BE189" i="12" s="1"/>
  <c r="BK185" i="12"/>
  <c r="BI185" i="12"/>
  <c r="BH185" i="12"/>
  <c r="BG185" i="12"/>
  <c r="BF185" i="12"/>
  <c r="T185" i="12"/>
  <c r="R185" i="12"/>
  <c r="P185" i="12"/>
  <c r="J185" i="12"/>
  <c r="BE185" i="12" s="1"/>
  <c r="BK183" i="12"/>
  <c r="BI183" i="12"/>
  <c r="BH183" i="12"/>
  <c r="BG183" i="12"/>
  <c r="BF183" i="12"/>
  <c r="T183" i="12"/>
  <c r="R183" i="12"/>
  <c r="P183" i="12"/>
  <c r="J183" i="12"/>
  <c r="BE183" i="12" s="1"/>
  <c r="BK180" i="12"/>
  <c r="BI180" i="12"/>
  <c r="BH180" i="12"/>
  <c r="BG180" i="12"/>
  <c r="BF180" i="12"/>
  <c r="T180" i="12"/>
  <c r="R180" i="12"/>
  <c r="P180" i="12"/>
  <c r="J180" i="12"/>
  <c r="BE180" i="12" s="1"/>
  <c r="BK177" i="12"/>
  <c r="BI177" i="12"/>
  <c r="BH177" i="12"/>
  <c r="BG177" i="12"/>
  <c r="BF177" i="12"/>
  <c r="T177" i="12"/>
  <c r="R177" i="12"/>
  <c r="P177" i="12"/>
  <c r="J177" i="12"/>
  <c r="BE177" i="12" s="1"/>
  <c r="BK175" i="12"/>
  <c r="BI175" i="12"/>
  <c r="BH175" i="12"/>
  <c r="BG175" i="12"/>
  <c r="BF175" i="12"/>
  <c r="T175" i="12"/>
  <c r="R175" i="12"/>
  <c r="P175" i="12"/>
  <c r="J175" i="12"/>
  <c r="BE175" i="12" s="1"/>
  <c r="BK171" i="12"/>
  <c r="BI171" i="12"/>
  <c r="BH171" i="12"/>
  <c r="BG171" i="12"/>
  <c r="BF171" i="12"/>
  <c r="T171" i="12"/>
  <c r="R171" i="12"/>
  <c r="P171" i="12"/>
  <c r="J171" i="12"/>
  <c r="BE171" i="12" s="1"/>
  <c r="BK169" i="12"/>
  <c r="BI169" i="12"/>
  <c r="BH169" i="12"/>
  <c r="BG169" i="12"/>
  <c r="BF169" i="12"/>
  <c r="T169" i="12"/>
  <c r="R169" i="12"/>
  <c r="P169" i="12"/>
  <c r="J169" i="12"/>
  <c r="BE169" i="12" s="1"/>
  <c r="BK165" i="12"/>
  <c r="BI165" i="12"/>
  <c r="BH165" i="12"/>
  <c r="BG165" i="12"/>
  <c r="BF165" i="12"/>
  <c r="T165" i="12"/>
  <c r="R165" i="12"/>
  <c r="P165" i="12"/>
  <c r="J165" i="12"/>
  <c r="BE165" i="12" s="1"/>
  <c r="BK161" i="12"/>
  <c r="BI161" i="12"/>
  <c r="BH161" i="12"/>
  <c r="BG161" i="12"/>
  <c r="BF161" i="12"/>
  <c r="T161" i="12"/>
  <c r="R161" i="12"/>
  <c r="P161" i="12"/>
  <c r="J161" i="12"/>
  <c r="BE161" i="12" s="1"/>
  <c r="BK158" i="12"/>
  <c r="BI158" i="12"/>
  <c r="BH158" i="12"/>
  <c r="BG158" i="12"/>
  <c r="BF158" i="12"/>
  <c r="T158" i="12"/>
  <c r="R158" i="12"/>
  <c r="P158" i="12"/>
  <c r="J158" i="12"/>
  <c r="BE158" i="12" s="1"/>
  <c r="H156" i="12"/>
  <c r="H157" i="12" s="1"/>
  <c r="BK149" i="12"/>
  <c r="BI149" i="12"/>
  <c r="BH149" i="12"/>
  <c r="BG149" i="12"/>
  <c r="BF149" i="12"/>
  <c r="T149" i="12"/>
  <c r="R149" i="12"/>
  <c r="P149" i="12"/>
  <c r="J149" i="12"/>
  <c r="BE149" i="12" s="1"/>
  <c r="BK144" i="12"/>
  <c r="BI144" i="12"/>
  <c r="BH144" i="12"/>
  <c r="BG144" i="12"/>
  <c r="BF144" i="12"/>
  <c r="T144" i="12"/>
  <c r="R144" i="12"/>
  <c r="P144" i="12"/>
  <c r="J144" i="12"/>
  <c r="BE144" i="12" s="1"/>
  <c r="BK139" i="12"/>
  <c r="BI139" i="12"/>
  <c r="BH139" i="12"/>
  <c r="BG139" i="12"/>
  <c r="BF139" i="12"/>
  <c r="T139" i="12"/>
  <c r="R139" i="12"/>
  <c r="P139" i="12"/>
  <c r="J139" i="12"/>
  <c r="BE139" i="12" s="1"/>
  <c r="BK137" i="12"/>
  <c r="BI137" i="12"/>
  <c r="BH137" i="12"/>
  <c r="BG137" i="12"/>
  <c r="BF137" i="12"/>
  <c r="T137" i="12"/>
  <c r="R137" i="12"/>
  <c r="P137" i="12"/>
  <c r="J137" i="12"/>
  <c r="BE137" i="12" s="1"/>
  <c r="BK134" i="12"/>
  <c r="BI134" i="12"/>
  <c r="BH134" i="12"/>
  <c r="BG134" i="12"/>
  <c r="BF134" i="12"/>
  <c r="T134" i="12"/>
  <c r="R134" i="12"/>
  <c r="P134" i="12"/>
  <c r="J134" i="12"/>
  <c r="BE134" i="12" s="1"/>
  <c r="J127" i="12"/>
  <c r="F127" i="12"/>
  <c r="F125" i="12"/>
  <c r="E123" i="12"/>
  <c r="J107" i="12"/>
  <c r="J94" i="12"/>
  <c r="F94" i="12"/>
  <c r="F92" i="12"/>
  <c r="E90" i="12"/>
  <c r="J41" i="12"/>
  <c r="J40" i="12"/>
  <c r="J39" i="12"/>
  <c r="J28" i="12"/>
  <c r="E28" i="12"/>
  <c r="J128" i="12" s="1"/>
  <c r="J27" i="12"/>
  <c r="J22" i="12"/>
  <c r="E22" i="12"/>
  <c r="F128" i="12" s="1"/>
  <c r="J21" i="12"/>
  <c r="J16" i="12"/>
  <c r="J92" i="12" s="1"/>
  <c r="E7" i="12"/>
  <c r="E117" i="12" s="1"/>
  <c r="BK314" i="11"/>
  <c r="BK313" i="11" s="1"/>
  <c r="J313" i="11" s="1"/>
  <c r="J107" i="11" s="1"/>
  <c r="BI314" i="11"/>
  <c r="BH314" i="11"/>
  <c r="BG314" i="11"/>
  <c r="BF314" i="11"/>
  <c r="T314" i="11"/>
  <c r="R314" i="11"/>
  <c r="P314" i="11"/>
  <c r="P313" i="11" s="1"/>
  <c r="J314" i="11"/>
  <c r="BE314" i="11" s="1"/>
  <c r="T313" i="11"/>
  <c r="R313" i="11"/>
  <c r="BK310" i="11"/>
  <c r="BI310" i="11"/>
  <c r="BH310" i="11"/>
  <c r="BG310" i="11"/>
  <c r="BF310" i="11"/>
  <c r="T310" i="11"/>
  <c r="R310" i="11"/>
  <c r="P310" i="11"/>
  <c r="J310" i="11"/>
  <c r="BE310" i="11" s="1"/>
  <c r="BK307" i="11"/>
  <c r="BI307" i="11"/>
  <c r="BH307" i="11"/>
  <c r="BG307" i="11"/>
  <c r="BF307" i="11"/>
  <c r="T307" i="11"/>
  <c r="R307" i="11"/>
  <c r="P307" i="11"/>
  <c r="J307" i="11"/>
  <c r="BE307" i="11" s="1"/>
  <c r="BK305" i="11"/>
  <c r="BI305" i="11"/>
  <c r="BH305" i="11"/>
  <c r="BG305" i="11"/>
  <c r="BF305" i="11"/>
  <c r="T305" i="11"/>
  <c r="R305" i="11"/>
  <c r="P305" i="11"/>
  <c r="J305" i="11"/>
  <c r="BE305" i="11" s="1"/>
  <c r="BK302" i="11"/>
  <c r="BI302" i="11"/>
  <c r="BH302" i="11"/>
  <c r="BG302" i="11"/>
  <c r="BF302" i="11"/>
  <c r="T302" i="11"/>
  <c r="R302" i="11"/>
  <c r="P302" i="11"/>
  <c r="J302" i="11"/>
  <c r="BE302" i="11" s="1"/>
  <c r="BK297" i="11"/>
  <c r="BI297" i="11"/>
  <c r="BH297" i="11"/>
  <c r="BG297" i="11"/>
  <c r="BF297" i="11"/>
  <c r="T297" i="11"/>
  <c r="R297" i="11"/>
  <c r="P297" i="11"/>
  <c r="J297" i="11"/>
  <c r="BE297" i="11" s="1"/>
  <c r="BK294" i="11"/>
  <c r="BI294" i="11"/>
  <c r="BH294" i="11"/>
  <c r="BG294" i="11"/>
  <c r="BF294" i="11"/>
  <c r="T294" i="11"/>
  <c r="R294" i="11"/>
  <c r="P294" i="11"/>
  <c r="J294" i="11"/>
  <c r="BE294" i="11" s="1"/>
  <c r="BK292" i="11"/>
  <c r="BI292" i="11"/>
  <c r="BH292" i="11"/>
  <c r="BG292" i="11"/>
  <c r="BF292" i="11"/>
  <c r="T292" i="11"/>
  <c r="R292" i="11"/>
  <c r="P292" i="11"/>
  <c r="J292" i="11"/>
  <c r="BE292" i="11" s="1"/>
  <c r="BK290" i="11"/>
  <c r="BI290" i="11"/>
  <c r="BH290" i="11"/>
  <c r="BG290" i="11"/>
  <c r="BF290" i="11"/>
  <c r="T290" i="11"/>
  <c r="R290" i="11"/>
  <c r="P290" i="11"/>
  <c r="J290" i="11"/>
  <c r="BE290" i="11" s="1"/>
  <c r="BK288" i="11"/>
  <c r="BI288" i="11"/>
  <c r="BH288" i="11"/>
  <c r="BG288" i="11"/>
  <c r="BF288" i="11"/>
  <c r="T288" i="11"/>
  <c r="R288" i="11"/>
  <c r="P288" i="11"/>
  <c r="J288" i="11"/>
  <c r="BE288" i="11" s="1"/>
  <c r="BK284" i="11"/>
  <c r="BI284" i="11"/>
  <c r="BH284" i="11"/>
  <c r="BG284" i="11"/>
  <c r="BF284" i="11"/>
  <c r="T284" i="11"/>
  <c r="R284" i="11"/>
  <c r="P284" i="11"/>
  <c r="J284" i="11"/>
  <c r="BE284" i="11" s="1"/>
  <c r="BK281" i="11"/>
  <c r="BI281" i="11"/>
  <c r="BH281" i="11"/>
  <c r="BG281" i="11"/>
  <c r="BF281" i="11"/>
  <c r="T281" i="11"/>
  <c r="R281" i="11"/>
  <c r="P281" i="11"/>
  <c r="J281" i="11"/>
  <c r="BE281" i="11" s="1"/>
  <c r="BK279" i="11"/>
  <c r="BI279" i="11"/>
  <c r="BH279" i="11"/>
  <c r="BG279" i="11"/>
  <c r="BF279" i="11"/>
  <c r="T279" i="11"/>
  <c r="R279" i="11"/>
  <c r="P279" i="11"/>
  <c r="J279" i="11"/>
  <c r="BE279" i="11" s="1"/>
  <c r="BK274" i="11"/>
  <c r="BI274" i="11"/>
  <c r="BH274" i="11"/>
  <c r="BG274" i="11"/>
  <c r="BF274" i="11"/>
  <c r="T274" i="11"/>
  <c r="R274" i="11"/>
  <c r="P274" i="11"/>
  <c r="J274" i="11"/>
  <c r="BE274" i="11" s="1"/>
  <c r="BK272" i="11"/>
  <c r="BI272" i="11"/>
  <c r="BH272" i="11"/>
  <c r="BG272" i="11"/>
  <c r="BF272" i="11"/>
  <c r="T272" i="11"/>
  <c r="R272" i="11"/>
  <c r="P272" i="11"/>
  <c r="J272" i="11"/>
  <c r="BE272" i="11" s="1"/>
  <c r="BK270" i="11"/>
  <c r="BI270" i="11"/>
  <c r="BH270" i="11"/>
  <c r="BG270" i="11"/>
  <c r="BF270" i="11"/>
  <c r="T270" i="11"/>
  <c r="R270" i="11"/>
  <c r="P270" i="11"/>
  <c r="J270" i="11"/>
  <c r="BE270" i="11" s="1"/>
  <c r="BK267" i="11"/>
  <c r="BI267" i="11"/>
  <c r="BH267" i="11"/>
  <c r="BG267" i="11"/>
  <c r="BF267" i="11"/>
  <c r="T267" i="11"/>
  <c r="R267" i="11"/>
  <c r="P267" i="11"/>
  <c r="J267" i="11"/>
  <c r="BE267" i="11" s="1"/>
  <c r="BK263" i="11"/>
  <c r="BI263" i="11"/>
  <c r="BH263" i="11"/>
  <c r="BG263" i="11"/>
  <c r="BF263" i="11"/>
  <c r="T263" i="11"/>
  <c r="R263" i="11"/>
  <c r="P263" i="11"/>
  <c r="J263" i="11"/>
  <c r="BE263" i="11" s="1"/>
  <c r="BK258" i="11"/>
  <c r="BI258" i="11"/>
  <c r="BH258" i="11"/>
  <c r="BG258" i="11"/>
  <c r="BF258" i="11"/>
  <c r="T258" i="11"/>
  <c r="R258" i="11"/>
  <c r="P258" i="11"/>
  <c r="J258" i="11"/>
  <c r="BE258" i="11" s="1"/>
  <c r="BK256" i="11"/>
  <c r="BI256" i="11"/>
  <c r="BH256" i="11"/>
  <c r="BG256" i="11"/>
  <c r="BF256" i="11"/>
  <c r="T256" i="11"/>
  <c r="R256" i="11"/>
  <c r="P256" i="11"/>
  <c r="J256" i="11"/>
  <c r="BE256" i="11" s="1"/>
  <c r="BK254" i="11"/>
  <c r="BI254" i="11"/>
  <c r="BH254" i="11"/>
  <c r="BG254" i="11"/>
  <c r="BF254" i="11"/>
  <c r="T254" i="11"/>
  <c r="R254" i="11"/>
  <c r="P254" i="11"/>
  <c r="J254" i="11"/>
  <c r="BE254" i="11" s="1"/>
  <c r="BK252" i="11"/>
  <c r="BI252" i="11"/>
  <c r="BH252" i="11"/>
  <c r="BG252" i="11"/>
  <c r="BF252" i="11"/>
  <c r="T252" i="11"/>
  <c r="R252" i="11"/>
  <c r="P252" i="11"/>
  <c r="J252" i="11"/>
  <c r="BE252" i="11" s="1"/>
  <c r="H249" i="11"/>
  <c r="BK245" i="11"/>
  <c r="BI245" i="11"/>
  <c r="BH245" i="11"/>
  <c r="BG245" i="11"/>
  <c r="BF245" i="11"/>
  <c r="T245" i="11"/>
  <c r="R245" i="11"/>
  <c r="P245" i="11"/>
  <c r="J245" i="11"/>
  <c r="BE245" i="11" s="1"/>
  <c r="H243" i="11"/>
  <c r="BK239" i="11"/>
  <c r="BI239" i="11"/>
  <c r="BH239" i="11"/>
  <c r="BG239" i="11"/>
  <c r="BF239" i="11"/>
  <c r="T239" i="11"/>
  <c r="R239" i="11"/>
  <c r="P239" i="11"/>
  <c r="J239" i="11"/>
  <c r="BE239" i="11" s="1"/>
  <c r="BK235" i="11"/>
  <c r="BI235" i="11"/>
  <c r="BH235" i="11"/>
  <c r="BG235" i="11"/>
  <c r="BF235" i="11"/>
  <c r="T235" i="11"/>
  <c r="R235" i="11"/>
  <c r="P235" i="11"/>
  <c r="J235" i="11"/>
  <c r="BE235" i="11" s="1"/>
  <c r="BK233" i="11"/>
  <c r="BK232" i="11" s="1"/>
  <c r="J232" i="11" s="1"/>
  <c r="J102" i="11" s="1"/>
  <c r="BI233" i="11"/>
  <c r="BH233" i="11"/>
  <c r="BG233" i="11"/>
  <c r="BF233" i="11"/>
  <c r="T233" i="11"/>
  <c r="R233" i="11"/>
  <c r="R232" i="11" s="1"/>
  <c r="P233" i="11"/>
  <c r="P232" i="11" s="1"/>
  <c r="J233" i="11"/>
  <c r="BE233" i="11" s="1"/>
  <c r="T232" i="11"/>
  <c r="BK229" i="11"/>
  <c r="BI229" i="11"/>
  <c r="BH229" i="11"/>
  <c r="BG229" i="11"/>
  <c r="BF229" i="11"/>
  <c r="T229" i="11"/>
  <c r="R229" i="11"/>
  <c r="P229" i="11"/>
  <c r="J229" i="11"/>
  <c r="BE229" i="11" s="1"/>
  <c r="BK227" i="11"/>
  <c r="BI227" i="11"/>
  <c r="BH227" i="11"/>
  <c r="BG227" i="11"/>
  <c r="BF227" i="11"/>
  <c r="T227" i="11"/>
  <c r="R227" i="11"/>
  <c r="P227" i="11"/>
  <c r="J227" i="11"/>
  <c r="BE227" i="11" s="1"/>
  <c r="BK225" i="11"/>
  <c r="BI225" i="11"/>
  <c r="BH225" i="11"/>
  <c r="BG225" i="11"/>
  <c r="BF225" i="11"/>
  <c r="T225" i="11"/>
  <c r="R225" i="11"/>
  <c r="P225" i="11"/>
  <c r="J225" i="11"/>
  <c r="BE225" i="11" s="1"/>
  <c r="BK222" i="11"/>
  <c r="BI222" i="11"/>
  <c r="BH222" i="11"/>
  <c r="BG222" i="11"/>
  <c r="BF222" i="11"/>
  <c r="T222" i="11"/>
  <c r="R222" i="11"/>
  <c r="P222" i="11"/>
  <c r="J222" i="11"/>
  <c r="BE222" i="11" s="1"/>
  <c r="BK218" i="11"/>
  <c r="BI218" i="11"/>
  <c r="BH218" i="11"/>
  <c r="BG218" i="11"/>
  <c r="BF218" i="11"/>
  <c r="T218" i="11"/>
  <c r="R218" i="11"/>
  <c r="P218" i="11"/>
  <c r="J218" i="11"/>
  <c r="BE218" i="11" s="1"/>
  <c r="H217" i="11"/>
  <c r="BK214" i="11"/>
  <c r="BI214" i="11"/>
  <c r="BH214" i="11"/>
  <c r="BG214" i="11"/>
  <c r="BF214" i="11"/>
  <c r="T214" i="11"/>
  <c r="R214" i="11"/>
  <c r="P214" i="11"/>
  <c r="J214" i="11"/>
  <c r="BE214" i="11" s="1"/>
  <c r="BK200" i="11"/>
  <c r="BI200" i="11"/>
  <c r="BH200" i="11"/>
  <c r="BG200" i="11"/>
  <c r="BF200" i="11"/>
  <c r="T200" i="11"/>
  <c r="R200" i="11"/>
  <c r="P200" i="11"/>
  <c r="J200" i="11"/>
  <c r="BE200" i="11" s="1"/>
  <c r="H198" i="11"/>
  <c r="BK192" i="11"/>
  <c r="BI192" i="11"/>
  <c r="BH192" i="11"/>
  <c r="BG192" i="11"/>
  <c r="BF192" i="11"/>
  <c r="T192" i="11"/>
  <c r="R192" i="11"/>
  <c r="P192" i="11"/>
  <c r="J192" i="11"/>
  <c r="BE192" i="11" s="1"/>
  <c r="BK187" i="11"/>
  <c r="BI187" i="11"/>
  <c r="BH187" i="11"/>
  <c r="BG187" i="11"/>
  <c r="BF187" i="11"/>
  <c r="T187" i="11"/>
  <c r="R187" i="11"/>
  <c r="P187" i="11"/>
  <c r="J187" i="11"/>
  <c r="BE187" i="11" s="1"/>
  <c r="BK185" i="11"/>
  <c r="BI185" i="11"/>
  <c r="BH185" i="11"/>
  <c r="BG185" i="11"/>
  <c r="BF185" i="11"/>
  <c r="T185" i="11"/>
  <c r="R185" i="11"/>
  <c r="P185" i="11"/>
  <c r="J185" i="11"/>
  <c r="BE185" i="11" s="1"/>
  <c r="BK182" i="11"/>
  <c r="BI182" i="11"/>
  <c r="BH182" i="11"/>
  <c r="BG182" i="11"/>
  <c r="BF182" i="11"/>
  <c r="T182" i="11"/>
  <c r="R182" i="11"/>
  <c r="P182" i="11"/>
  <c r="J182" i="11"/>
  <c r="BE182" i="11" s="1"/>
  <c r="BK179" i="11"/>
  <c r="BI179" i="11"/>
  <c r="BH179" i="11"/>
  <c r="BG179" i="11"/>
  <c r="BF179" i="11"/>
  <c r="T179" i="11"/>
  <c r="R179" i="11"/>
  <c r="P179" i="11"/>
  <c r="J179" i="11"/>
  <c r="BE179" i="11" s="1"/>
  <c r="BK177" i="11"/>
  <c r="BI177" i="11"/>
  <c r="BH177" i="11"/>
  <c r="BG177" i="11"/>
  <c r="BF177" i="11"/>
  <c r="T177" i="11"/>
  <c r="R177" i="11"/>
  <c r="P177" i="11"/>
  <c r="J177" i="11"/>
  <c r="BE177" i="11" s="1"/>
  <c r="H176" i="11"/>
  <c r="BK170" i="11"/>
  <c r="BI170" i="11"/>
  <c r="BH170" i="11"/>
  <c r="BG170" i="11"/>
  <c r="BF170" i="11"/>
  <c r="T170" i="11"/>
  <c r="R170" i="11"/>
  <c r="P170" i="11"/>
  <c r="J170" i="11"/>
  <c r="BE170" i="11" s="1"/>
  <c r="BK168" i="11"/>
  <c r="BI168" i="11"/>
  <c r="BH168" i="11"/>
  <c r="BG168" i="11"/>
  <c r="BF168" i="11"/>
  <c r="T168" i="11"/>
  <c r="R168" i="11"/>
  <c r="P168" i="11"/>
  <c r="J168" i="11"/>
  <c r="BE168" i="11" s="1"/>
  <c r="BK164" i="11"/>
  <c r="BI164" i="11"/>
  <c r="BH164" i="11"/>
  <c r="BG164" i="11"/>
  <c r="BF164" i="11"/>
  <c r="T164" i="11"/>
  <c r="R164" i="11"/>
  <c r="P164" i="11"/>
  <c r="J164" i="11"/>
  <c r="BE164" i="11" s="1"/>
  <c r="BK160" i="11"/>
  <c r="BI160" i="11"/>
  <c r="BH160" i="11"/>
  <c r="BG160" i="11"/>
  <c r="BF160" i="11"/>
  <c r="T160" i="11"/>
  <c r="R160" i="11"/>
  <c r="P160" i="11"/>
  <c r="J160" i="11"/>
  <c r="BE160" i="11" s="1"/>
  <c r="BK157" i="11"/>
  <c r="BI157" i="11"/>
  <c r="BH157" i="11"/>
  <c r="BG157" i="11"/>
  <c r="BF157" i="11"/>
  <c r="T157" i="11"/>
  <c r="R157" i="11"/>
  <c r="P157" i="11"/>
  <c r="J157" i="11"/>
  <c r="BE157" i="11" s="1"/>
  <c r="BK147" i="11"/>
  <c r="BI147" i="11"/>
  <c r="BH147" i="11"/>
  <c r="BG147" i="11"/>
  <c r="BF147" i="11"/>
  <c r="T147" i="11"/>
  <c r="R147" i="11"/>
  <c r="P147" i="11"/>
  <c r="J147" i="11"/>
  <c r="BE147" i="11" s="1"/>
  <c r="BK142" i="11"/>
  <c r="BI142" i="11"/>
  <c r="BH142" i="11"/>
  <c r="BG142" i="11"/>
  <c r="BF142" i="11"/>
  <c r="T142" i="11"/>
  <c r="R142" i="11"/>
  <c r="P142" i="11"/>
  <c r="J142" i="11"/>
  <c r="BE142" i="11" s="1"/>
  <c r="BK139" i="11"/>
  <c r="BI139" i="11"/>
  <c r="BH139" i="11"/>
  <c r="BG139" i="11"/>
  <c r="BF139" i="11"/>
  <c r="T139" i="11"/>
  <c r="R139" i="11"/>
  <c r="P139" i="11"/>
  <c r="J139" i="11"/>
  <c r="BE139" i="11" s="1"/>
  <c r="BK137" i="11"/>
  <c r="BI137" i="11"/>
  <c r="BH137" i="11"/>
  <c r="BG137" i="11"/>
  <c r="BF137" i="11"/>
  <c r="T137" i="11"/>
  <c r="R137" i="11"/>
  <c r="P137" i="11"/>
  <c r="J137" i="11"/>
  <c r="BE137" i="11" s="1"/>
  <c r="BK134" i="11"/>
  <c r="BI134" i="11"/>
  <c r="BH134" i="11"/>
  <c r="BG134" i="11"/>
  <c r="BF134" i="11"/>
  <c r="T134" i="11"/>
  <c r="R134" i="11"/>
  <c r="P134" i="11"/>
  <c r="J134" i="11"/>
  <c r="BE134" i="11" s="1"/>
  <c r="J127" i="11"/>
  <c r="F127" i="11"/>
  <c r="F125" i="11"/>
  <c r="E123" i="11"/>
  <c r="J94" i="11"/>
  <c r="F94" i="11"/>
  <c r="F92" i="11"/>
  <c r="E90" i="11"/>
  <c r="J41" i="11"/>
  <c r="J40" i="11"/>
  <c r="J39" i="11"/>
  <c r="J28" i="11"/>
  <c r="E28" i="11"/>
  <c r="J128" i="11" s="1"/>
  <c r="J27" i="11"/>
  <c r="J22" i="11"/>
  <c r="E22" i="11"/>
  <c r="F128" i="11" s="1"/>
  <c r="J21" i="11"/>
  <c r="J16" i="11"/>
  <c r="J125" i="11" s="1"/>
  <c r="E7" i="11"/>
  <c r="E117" i="11" s="1"/>
  <c r="BK338" i="10"/>
  <c r="BK337" i="10" s="1"/>
  <c r="J337" i="10" s="1"/>
  <c r="J108" i="10" s="1"/>
  <c r="BI338" i="10"/>
  <c r="BH338" i="10"/>
  <c r="BG338" i="10"/>
  <c r="BF338" i="10"/>
  <c r="T338" i="10"/>
  <c r="T337" i="10" s="1"/>
  <c r="R338" i="10"/>
  <c r="P338" i="10"/>
  <c r="P337" i="10" s="1"/>
  <c r="J338" i="10"/>
  <c r="BE338" i="10" s="1"/>
  <c r="R337" i="10"/>
  <c r="BK334" i="10"/>
  <c r="BI334" i="10"/>
  <c r="BH334" i="10"/>
  <c r="BG334" i="10"/>
  <c r="BF334" i="10"/>
  <c r="T334" i="10"/>
  <c r="R334" i="10"/>
  <c r="P334" i="10"/>
  <c r="J334" i="10"/>
  <c r="BE334" i="10" s="1"/>
  <c r="BK331" i="10"/>
  <c r="BI331" i="10"/>
  <c r="BH331" i="10"/>
  <c r="BG331" i="10"/>
  <c r="BF331" i="10"/>
  <c r="T331" i="10"/>
  <c r="R331" i="10"/>
  <c r="P331" i="10"/>
  <c r="J331" i="10"/>
  <c r="BE331" i="10" s="1"/>
  <c r="BK329" i="10"/>
  <c r="BI329" i="10"/>
  <c r="BH329" i="10"/>
  <c r="BG329" i="10"/>
  <c r="BF329" i="10"/>
  <c r="T329" i="10"/>
  <c r="R329" i="10"/>
  <c r="P329" i="10"/>
  <c r="J329" i="10"/>
  <c r="BE329" i="10" s="1"/>
  <c r="BK326" i="10"/>
  <c r="BI326" i="10"/>
  <c r="BH326" i="10"/>
  <c r="BG326" i="10"/>
  <c r="BF326" i="10"/>
  <c r="T326" i="10"/>
  <c r="R326" i="10"/>
  <c r="P326" i="10"/>
  <c r="J326" i="10"/>
  <c r="BE326" i="10" s="1"/>
  <c r="BK321" i="10"/>
  <c r="BI321" i="10"/>
  <c r="BH321" i="10"/>
  <c r="BG321" i="10"/>
  <c r="BF321" i="10"/>
  <c r="T321" i="10"/>
  <c r="R321" i="10"/>
  <c r="P321" i="10"/>
  <c r="J321" i="10"/>
  <c r="BE321" i="10" s="1"/>
  <c r="BK316" i="10"/>
  <c r="BI316" i="10"/>
  <c r="BH316" i="10"/>
  <c r="BG316" i="10"/>
  <c r="BF316" i="10"/>
  <c r="T316" i="10"/>
  <c r="R316" i="10"/>
  <c r="P316" i="10"/>
  <c r="J316" i="10"/>
  <c r="BE316" i="10" s="1"/>
  <c r="BK312" i="10"/>
  <c r="BI312" i="10"/>
  <c r="BH312" i="10"/>
  <c r="BG312" i="10"/>
  <c r="BF312" i="10"/>
  <c r="T312" i="10"/>
  <c r="R312" i="10"/>
  <c r="P312" i="10"/>
  <c r="J312" i="10"/>
  <c r="BE312" i="10" s="1"/>
  <c r="BK309" i="10"/>
  <c r="BI309" i="10"/>
  <c r="BH309" i="10"/>
  <c r="BG309" i="10"/>
  <c r="BF309" i="10"/>
  <c r="T309" i="10"/>
  <c r="R309" i="10"/>
  <c r="P309" i="10"/>
  <c r="J309" i="10"/>
  <c r="BE309" i="10" s="1"/>
  <c r="BK307" i="10"/>
  <c r="BI307" i="10"/>
  <c r="BH307" i="10"/>
  <c r="BG307" i="10"/>
  <c r="BF307" i="10"/>
  <c r="T307" i="10"/>
  <c r="R307" i="10"/>
  <c r="P307" i="10"/>
  <c r="J307" i="10"/>
  <c r="BE307" i="10" s="1"/>
  <c r="BK305" i="10"/>
  <c r="BI305" i="10"/>
  <c r="BH305" i="10"/>
  <c r="BG305" i="10"/>
  <c r="BF305" i="10"/>
  <c r="T305" i="10"/>
  <c r="R305" i="10"/>
  <c r="P305" i="10"/>
  <c r="J305" i="10"/>
  <c r="BE305" i="10" s="1"/>
  <c r="BK301" i="10"/>
  <c r="BI301" i="10"/>
  <c r="BH301" i="10"/>
  <c r="BG301" i="10"/>
  <c r="BF301" i="10"/>
  <c r="T301" i="10"/>
  <c r="R301" i="10"/>
  <c r="P301" i="10"/>
  <c r="J301" i="10"/>
  <c r="BE301" i="10" s="1"/>
  <c r="BK299" i="10"/>
  <c r="BI299" i="10"/>
  <c r="BH299" i="10"/>
  <c r="BG299" i="10"/>
  <c r="BF299" i="10"/>
  <c r="T299" i="10"/>
  <c r="R299" i="10"/>
  <c r="P299" i="10"/>
  <c r="J299" i="10"/>
  <c r="BE299" i="10" s="1"/>
  <c r="BK297" i="10"/>
  <c r="BI297" i="10"/>
  <c r="BH297" i="10"/>
  <c r="BG297" i="10"/>
  <c r="BF297" i="10"/>
  <c r="T297" i="10"/>
  <c r="R297" i="10"/>
  <c r="P297" i="10"/>
  <c r="J297" i="10"/>
  <c r="BE297" i="10" s="1"/>
  <c r="BK295" i="10"/>
  <c r="BI295" i="10"/>
  <c r="BH295" i="10"/>
  <c r="BG295" i="10"/>
  <c r="BF295" i="10"/>
  <c r="T295" i="10"/>
  <c r="R295" i="10"/>
  <c r="P295" i="10"/>
  <c r="J295" i="10"/>
  <c r="BE295" i="10" s="1"/>
  <c r="BK293" i="10"/>
  <c r="BI293" i="10"/>
  <c r="BH293" i="10"/>
  <c r="BG293" i="10"/>
  <c r="BF293" i="10"/>
  <c r="T293" i="10"/>
  <c r="R293" i="10"/>
  <c r="P293" i="10"/>
  <c r="J293" i="10"/>
  <c r="BE293" i="10" s="1"/>
  <c r="BK289" i="10"/>
  <c r="BI289" i="10"/>
  <c r="BH289" i="10"/>
  <c r="BG289" i="10"/>
  <c r="BF289" i="10"/>
  <c r="T289" i="10"/>
  <c r="R289" i="10"/>
  <c r="P289" i="10"/>
  <c r="J289" i="10"/>
  <c r="BE289" i="10" s="1"/>
  <c r="BK286" i="10"/>
  <c r="BI286" i="10"/>
  <c r="BH286" i="10"/>
  <c r="BG286" i="10"/>
  <c r="BF286" i="10"/>
  <c r="T286" i="10"/>
  <c r="R286" i="10"/>
  <c r="P286" i="10"/>
  <c r="J286" i="10"/>
  <c r="BE286" i="10" s="1"/>
  <c r="BK284" i="10"/>
  <c r="BI284" i="10"/>
  <c r="BH284" i="10"/>
  <c r="BG284" i="10"/>
  <c r="BF284" i="10"/>
  <c r="T284" i="10"/>
  <c r="R284" i="10"/>
  <c r="P284" i="10"/>
  <c r="J284" i="10"/>
  <c r="BE284" i="10" s="1"/>
  <c r="BK279" i="10"/>
  <c r="BI279" i="10"/>
  <c r="BH279" i="10"/>
  <c r="BG279" i="10"/>
  <c r="BF279" i="10"/>
  <c r="T279" i="10"/>
  <c r="R279" i="10"/>
  <c r="P279" i="10"/>
  <c r="J279" i="10"/>
  <c r="BE279" i="10" s="1"/>
  <c r="BK277" i="10"/>
  <c r="BI277" i="10"/>
  <c r="BH277" i="10"/>
  <c r="BG277" i="10"/>
  <c r="BF277" i="10"/>
  <c r="T277" i="10"/>
  <c r="R277" i="10"/>
  <c r="P277" i="10"/>
  <c r="J277" i="10"/>
  <c r="BE277" i="10" s="1"/>
  <c r="BK275" i="10"/>
  <c r="BI275" i="10"/>
  <c r="BH275" i="10"/>
  <c r="BG275" i="10"/>
  <c r="BF275" i="10"/>
  <c r="T275" i="10"/>
  <c r="R275" i="10"/>
  <c r="P275" i="10"/>
  <c r="J275" i="10"/>
  <c r="BE275" i="10" s="1"/>
  <c r="BK272" i="10"/>
  <c r="BI272" i="10"/>
  <c r="BH272" i="10"/>
  <c r="BG272" i="10"/>
  <c r="BF272" i="10"/>
  <c r="T272" i="10"/>
  <c r="R272" i="10"/>
  <c r="P272" i="10"/>
  <c r="J272" i="10"/>
  <c r="BE272" i="10" s="1"/>
  <c r="BK268" i="10"/>
  <c r="BI268" i="10"/>
  <c r="BH268" i="10"/>
  <c r="BG268" i="10"/>
  <c r="BF268" i="10"/>
  <c r="T268" i="10"/>
  <c r="R268" i="10"/>
  <c r="P268" i="10"/>
  <c r="J268" i="10"/>
  <c r="BE268" i="10" s="1"/>
  <c r="BK264" i="10"/>
  <c r="BI264" i="10"/>
  <c r="BH264" i="10"/>
  <c r="BG264" i="10"/>
  <c r="BF264" i="10"/>
  <c r="T264" i="10"/>
  <c r="R264" i="10"/>
  <c r="P264" i="10"/>
  <c r="J264" i="10"/>
  <c r="BE264" i="10" s="1"/>
  <c r="BK262" i="10"/>
  <c r="BI262" i="10"/>
  <c r="BH262" i="10"/>
  <c r="BG262" i="10"/>
  <c r="BF262" i="10"/>
  <c r="T262" i="10"/>
  <c r="R262" i="10"/>
  <c r="P262" i="10"/>
  <c r="J262" i="10"/>
  <c r="BE262" i="10" s="1"/>
  <c r="BK260" i="10"/>
  <c r="BI260" i="10"/>
  <c r="BH260" i="10"/>
  <c r="BG260" i="10"/>
  <c r="BF260" i="10"/>
  <c r="T260" i="10"/>
  <c r="R260" i="10"/>
  <c r="P260" i="10"/>
  <c r="J260" i="10"/>
  <c r="BE260" i="10" s="1"/>
  <c r="BK258" i="10"/>
  <c r="BI258" i="10"/>
  <c r="BH258" i="10"/>
  <c r="BG258" i="10"/>
  <c r="BF258" i="10"/>
  <c r="T258" i="10"/>
  <c r="R258" i="10"/>
  <c r="P258" i="10"/>
  <c r="J258" i="10"/>
  <c r="BE258" i="10" s="1"/>
  <c r="H255" i="10"/>
  <c r="BK249" i="10"/>
  <c r="BI249" i="10"/>
  <c r="BH249" i="10"/>
  <c r="BG249" i="10"/>
  <c r="BF249" i="10"/>
  <c r="T249" i="10"/>
  <c r="R249" i="10"/>
  <c r="P249" i="10"/>
  <c r="J249" i="10"/>
  <c r="BE249" i="10" s="1"/>
  <c r="H247" i="10"/>
  <c r="H248" i="10" s="1"/>
  <c r="BK241" i="10"/>
  <c r="BI241" i="10"/>
  <c r="BH241" i="10"/>
  <c r="BG241" i="10"/>
  <c r="BF241" i="10"/>
  <c r="T241" i="10"/>
  <c r="R241" i="10"/>
  <c r="P241" i="10"/>
  <c r="J241" i="10"/>
  <c r="BE241" i="10" s="1"/>
  <c r="BK237" i="10"/>
  <c r="BI237" i="10"/>
  <c r="BH237" i="10"/>
  <c r="BG237" i="10"/>
  <c r="BF237" i="10"/>
  <c r="T237" i="10"/>
  <c r="R237" i="10"/>
  <c r="P237" i="10"/>
  <c r="J237" i="10"/>
  <c r="BE237" i="10" s="1"/>
  <c r="BK232" i="10"/>
  <c r="BK231" i="10" s="1"/>
  <c r="J231" i="10" s="1"/>
  <c r="J102" i="10" s="1"/>
  <c r="BI232" i="10"/>
  <c r="BH232" i="10"/>
  <c r="BG232" i="10"/>
  <c r="BF232" i="10"/>
  <c r="T232" i="10"/>
  <c r="T231" i="10" s="1"/>
  <c r="R232" i="10"/>
  <c r="R231" i="10" s="1"/>
  <c r="P232" i="10"/>
  <c r="P231" i="10" s="1"/>
  <c r="J232" i="10"/>
  <c r="BE232" i="10" s="1"/>
  <c r="BK228" i="10"/>
  <c r="BI228" i="10"/>
  <c r="BH228" i="10"/>
  <c r="BG228" i="10"/>
  <c r="BF228" i="10"/>
  <c r="T228" i="10"/>
  <c r="R228" i="10"/>
  <c r="P228" i="10"/>
  <c r="J228" i="10"/>
  <c r="BE228" i="10" s="1"/>
  <c r="BK226" i="10"/>
  <c r="BI226" i="10"/>
  <c r="BH226" i="10"/>
  <c r="BG226" i="10"/>
  <c r="BF226" i="10"/>
  <c r="T226" i="10"/>
  <c r="R226" i="10"/>
  <c r="P226" i="10"/>
  <c r="J226" i="10"/>
  <c r="BE226" i="10" s="1"/>
  <c r="BK224" i="10"/>
  <c r="BI224" i="10"/>
  <c r="BH224" i="10"/>
  <c r="BG224" i="10"/>
  <c r="BF224" i="10"/>
  <c r="T224" i="10"/>
  <c r="R224" i="10"/>
  <c r="P224" i="10"/>
  <c r="J224" i="10"/>
  <c r="BE224" i="10" s="1"/>
  <c r="BK221" i="10"/>
  <c r="BI221" i="10"/>
  <c r="BH221" i="10"/>
  <c r="BG221" i="10"/>
  <c r="BF221" i="10"/>
  <c r="T221" i="10"/>
  <c r="R221" i="10"/>
  <c r="P221" i="10"/>
  <c r="J221" i="10"/>
  <c r="BE221" i="10" s="1"/>
  <c r="BK217" i="10"/>
  <c r="BI217" i="10"/>
  <c r="BH217" i="10"/>
  <c r="BG217" i="10"/>
  <c r="BF217" i="10"/>
  <c r="T217" i="10"/>
  <c r="R217" i="10"/>
  <c r="P217" i="10"/>
  <c r="J217" i="10"/>
  <c r="BE217" i="10" s="1"/>
  <c r="H216" i="10"/>
  <c r="BK213" i="10"/>
  <c r="BI213" i="10"/>
  <c r="BH213" i="10"/>
  <c r="BG213" i="10"/>
  <c r="BF213" i="10"/>
  <c r="T213" i="10"/>
  <c r="R213" i="10"/>
  <c r="P213" i="10"/>
  <c r="J213" i="10"/>
  <c r="BE213" i="10" s="1"/>
  <c r="H212" i="10"/>
  <c r="BK198" i="10"/>
  <c r="BI198" i="10"/>
  <c r="BH198" i="10"/>
  <c r="BG198" i="10"/>
  <c r="BF198" i="10"/>
  <c r="T198" i="10"/>
  <c r="R198" i="10"/>
  <c r="P198" i="10"/>
  <c r="J198" i="10"/>
  <c r="BE198" i="10" s="1"/>
  <c r="H196" i="10"/>
  <c r="H197" i="10" s="1"/>
  <c r="BK190" i="10"/>
  <c r="BI190" i="10"/>
  <c r="BH190" i="10"/>
  <c r="BG190" i="10"/>
  <c r="BF190" i="10"/>
  <c r="T190" i="10"/>
  <c r="R190" i="10"/>
  <c r="P190" i="10"/>
  <c r="J190" i="10"/>
  <c r="BE190" i="10" s="1"/>
  <c r="H188" i="10"/>
  <c r="H189" i="10" s="1"/>
  <c r="BK184" i="10"/>
  <c r="BI184" i="10"/>
  <c r="BH184" i="10"/>
  <c r="BG184" i="10"/>
  <c r="BF184" i="10"/>
  <c r="T184" i="10"/>
  <c r="R184" i="10"/>
  <c r="P184" i="10"/>
  <c r="J184" i="10"/>
  <c r="BE184" i="10" s="1"/>
  <c r="BK176" i="10"/>
  <c r="BI176" i="10"/>
  <c r="BH176" i="10"/>
  <c r="BG176" i="10"/>
  <c r="BF176" i="10"/>
  <c r="T176" i="10"/>
  <c r="R176" i="10"/>
  <c r="P176" i="10"/>
  <c r="J176" i="10"/>
  <c r="BE176" i="10" s="1"/>
  <c r="BK169" i="10"/>
  <c r="BI169" i="10"/>
  <c r="BH169" i="10"/>
  <c r="BG169" i="10"/>
  <c r="BF169" i="10"/>
  <c r="T169" i="10"/>
  <c r="R169" i="10"/>
  <c r="P169" i="10"/>
  <c r="J169" i="10"/>
  <c r="BE169" i="10" s="1"/>
  <c r="BK167" i="10"/>
  <c r="BI167" i="10"/>
  <c r="BH167" i="10"/>
  <c r="BG167" i="10"/>
  <c r="BF167" i="10"/>
  <c r="T167" i="10"/>
  <c r="R167" i="10"/>
  <c r="P167" i="10"/>
  <c r="J167" i="10"/>
  <c r="BE167" i="10" s="1"/>
  <c r="BK163" i="10"/>
  <c r="BI163" i="10"/>
  <c r="BH163" i="10"/>
  <c r="BG163" i="10"/>
  <c r="BF163" i="10"/>
  <c r="T163" i="10"/>
  <c r="R163" i="10"/>
  <c r="P163" i="10"/>
  <c r="J163" i="10"/>
  <c r="BE163" i="10" s="1"/>
  <c r="BK159" i="10"/>
  <c r="BI159" i="10"/>
  <c r="BH159" i="10"/>
  <c r="BG159" i="10"/>
  <c r="BF159" i="10"/>
  <c r="T159" i="10"/>
  <c r="R159" i="10"/>
  <c r="P159" i="10"/>
  <c r="J159" i="10"/>
  <c r="BE159" i="10" s="1"/>
  <c r="BK156" i="10"/>
  <c r="BI156" i="10"/>
  <c r="BH156" i="10"/>
  <c r="BG156" i="10"/>
  <c r="BF156" i="10"/>
  <c r="T156" i="10"/>
  <c r="R156" i="10"/>
  <c r="P156" i="10"/>
  <c r="J156" i="10"/>
  <c r="BE156" i="10" s="1"/>
  <c r="H153" i="10"/>
  <c r="H154" i="10" s="1"/>
  <c r="H155" i="10" s="1"/>
  <c r="BK148" i="10"/>
  <c r="BI148" i="10"/>
  <c r="BH148" i="10"/>
  <c r="BG148" i="10"/>
  <c r="BF148" i="10"/>
  <c r="T148" i="10"/>
  <c r="R148" i="10"/>
  <c r="P148" i="10"/>
  <c r="J148" i="10"/>
  <c r="BE148" i="10" s="1"/>
  <c r="BK143" i="10"/>
  <c r="BI143" i="10"/>
  <c r="BH143" i="10"/>
  <c r="BG143" i="10"/>
  <c r="BF143" i="10"/>
  <c r="T143" i="10"/>
  <c r="R143" i="10"/>
  <c r="P143" i="10"/>
  <c r="J143" i="10"/>
  <c r="BE143" i="10" s="1"/>
  <c r="BK140" i="10"/>
  <c r="BI140" i="10"/>
  <c r="BH140" i="10"/>
  <c r="BG140" i="10"/>
  <c r="BF140" i="10"/>
  <c r="T140" i="10"/>
  <c r="R140" i="10"/>
  <c r="P140" i="10"/>
  <c r="J140" i="10"/>
  <c r="BE140" i="10" s="1"/>
  <c r="BK138" i="10"/>
  <c r="BI138" i="10"/>
  <c r="BH138" i="10"/>
  <c r="BG138" i="10"/>
  <c r="BF138" i="10"/>
  <c r="T138" i="10"/>
  <c r="R138" i="10"/>
  <c r="P138" i="10"/>
  <c r="J138" i="10"/>
  <c r="BE138" i="10" s="1"/>
  <c r="BK135" i="10"/>
  <c r="BI135" i="10"/>
  <c r="BH135" i="10"/>
  <c r="BG135" i="10"/>
  <c r="BF135" i="10"/>
  <c r="T135" i="10"/>
  <c r="R135" i="10"/>
  <c r="P135" i="10"/>
  <c r="J135" i="10"/>
  <c r="BE135" i="10" s="1"/>
  <c r="J128" i="10"/>
  <c r="F128" i="10"/>
  <c r="F126" i="10"/>
  <c r="E124" i="10"/>
  <c r="J94" i="10"/>
  <c r="F94" i="10"/>
  <c r="F92" i="10"/>
  <c r="E90" i="10"/>
  <c r="J41" i="10"/>
  <c r="J40" i="10"/>
  <c r="J39" i="10"/>
  <c r="J28" i="10"/>
  <c r="E28" i="10"/>
  <c r="J95" i="10" s="1"/>
  <c r="J27" i="10"/>
  <c r="J22" i="10"/>
  <c r="E22" i="10"/>
  <c r="F95" i="10" s="1"/>
  <c r="J21" i="10"/>
  <c r="J16" i="10"/>
  <c r="J92" i="10" s="1"/>
  <c r="E7" i="10"/>
  <c r="E118" i="10" s="1"/>
  <c r="T227" i="16" l="1"/>
  <c r="P284" i="16"/>
  <c r="BK284" i="16"/>
  <c r="J284" i="16" s="1"/>
  <c r="J107" i="16" s="1"/>
  <c r="T284" i="16"/>
  <c r="J106" i="16"/>
  <c r="P252" i="16"/>
  <c r="P242" i="16"/>
  <c r="R242" i="16"/>
  <c r="BK242" i="16"/>
  <c r="J242" i="16" s="1"/>
  <c r="J104" i="16" s="1"/>
  <c r="BK252" i="16"/>
  <c r="J252" i="16" s="1"/>
  <c r="J105" i="16" s="1"/>
  <c r="T252" i="16"/>
  <c r="J92" i="16"/>
  <c r="R227" i="16"/>
  <c r="P227" i="16"/>
  <c r="BK227" i="16"/>
  <c r="J227" i="16" s="1"/>
  <c r="J103" i="16" s="1"/>
  <c r="F38" i="16"/>
  <c r="T134" i="16"/>
  <c r="F40" i="16"/>
  <c r="BK134" i="16"/>
  <c r="T242" i="16"/>
  <c r="J38" i="16"/>
  <c r="R284" i="16"/>
  <c r="R134" i="16"/>
  <c r="P134" i="16"/>
  <c r="T298" i="15"/>
  <c r="BK245" i="15"/>
  <c r="J245" i="15" s="1"/>
  <c r="J104" i="15" s="1"/>
  <c r="R230" i="15"/>
  <c r="H208" i="15"/>
  <c r="R254" i="15"/>
  <c r="BK301" i="15"/>
  <c r="J301" i="15" s="1"/>
  <c r="J107" i="15" s="1"/>
  <c r="T245" i="15"/>
  <c r="P245" i="15"/>
  <c r="R298" i="15"/>
  <c r="P298" i="15"/>
  <c r="BK298" i="15"/>
  <c r="J298" i="15" s="1"/>
  <c r="J106" i="15" s="1"/>
  <c r="J38" i="15"/>
  <c r="BK134" i="15"/>
  <c r="J134" i="15" s="1"/>
  <c r="J101" i="15" s="1"/>
  <c r="T134" i="15"/>
  <c r="F41" i="15"/>
  <c r="R134" i="15"/>
  <c r="F38" i="15"/>
  <c r="R301" i="15"/>
  <c r="T301" i="15"/>
  <c r="BK230" i="15"/>
  <c r="J230" i="15" s="1"/>
  <c r="J103" i="15" s="1"/>
  <c r="BK254" i="15"/>
  <c r="J254" i="15" s="1"/>
  <c r="J105" i="15" s="1"/>
  <c r="P301" i="15"/>
  <c r="T296" i="12"/>
  <c r="P296" i="12"/>
  <c r="BK249" i="12"/>
  <c r="J249" i="12" s="1"/>
  <c r="J104" i="12" s="1"/>
  <c r="BK234" i="12"/>
  <c r="J234" i="12" s="1"/>
  <c r="J103" i="12" s="1"/>
  <c r="F39" i="12"/>
  <c r="F41" i="12"/>
  <c r="P261" i="12"/>
  <c r="BK261" i="12"/>
  <c r="J261" i="12" s="1"/>
  <c r="J105" i="12" s="1"/>
  <c r="P133" i="12"/>
  <c r="F40" i="12"/>
  <c r="J38" i="12"/>
  <c r="BK133" i="12"/>
  <c r="BK132" i="12" s="1"/>
  <c r="R133" i="12"/>
  <c r="BK251" i="11"/>
  <c r="J251" i="11" s="1"/>
  <c r="J104" i="11" s="1"/>
  <c r="T251" i="11"/>
  <c r="R251" i="11"/>
  <c r="T234" i="11"/>
  <c r="P296" i="11"/>
  <c r="H155" i="11"/>
  <c r="H156" i="11" s="1"/>
  <c r="BK234" i="11"/>
  <c r="J234" i="11" s="1"/>
  <c r="J103" i="11" s="1"/>
  <c r="R234" i="11"/>
  <c r="P262" i="11"/>
  <c r="T262" i="11"/>
  <c r="H213" i="11"/>
  <c r="R296" i="11"/>
  <c r="BK296" i="11"/>
  <c r="J296" i="11" s="1"/>
  <c r="J106" i="11" s="1"/>
  <c r="P133" i="11"/>
  <c r="F39" i="11"/>
  <c r="F40" i="11"/>
  <c r="J38" i="11"/>
  <c r="BK133" i="11"/>
  <c r="J133" i="11" s="1"/>
  <c r="J101" i="11" s="1"/>
  <c r="F41" i="11"/>
  <c r="R261" i="12"/>
  <c r="F38" i="12"/>
  <c r="T133" i="12"/>
  <c r="P234" i="12"/>
  <c r="T261" i="12"/>
  <c r="P249" i="12"/>
  <c r="R234" i="12"/>
  <c r="R296" i="12"/>
  <c r="F38" i="11"/>
  <c r="R133" i="11"/>
  <c r="P234" i="11"/>
  <c r="R262" i="11"/>
  <c r="T133" i="11"/>
  <c r="P251" i="11"/>
  <c r="T296" i="11"/>
  <c r="BK262" i="11"/>
  <c r="J262" i="11" s="1"/>
  <c r="J105" i="11" s="1"/>
  <c r="P288" i="13"/>
  <c r="T288" i="13"/>
  <c r="R254" i="13"/>
  <c r="R244" i="13"/>
  <c r="T244" i="13"/>
  <c r="R229" i="13"/>
  <c r="J92" i="13"/>
  <c r="T229" i="13"/>
  <c r="P254" i="13"/>
  <c r="BK288" i="13"/>
  <c r="J288" i="13" s="1"/>
  <c r="J106" i="13" s="1"/>
  <c r="F38" i="13"/>
  <c r="F40" i="13"/>
  <c r="F41" i="13"/>
  <c r="R288" i="13"/>
  <c r="F39" i="13"/>
  <c r="R133" i="13"/>
  <c r="BK229" i="13"/>
  <c r="J229" i="13" s="1"/>
  <c r="J103" i="13" s="1"/>
  <c r="BK244" i="13"/>
  <c r="J244" i="13" s="1"/>
  <c r="J104" i="13" s="1"/>
  <c r="T254" i="13"/>
  <c r="J38" i="13"/>
  <c r="P229" i="13"/>
  <c r="P244" i="13"/>
  <c r="BK254" i="13"/>
  <c r="J254" i="13" s="1"/>
  <c r="J105" i="13" s="1"/>
  <c r="BK236" i="10"/>
  <c r="J236" i="10" s="1"/>
  <c r="J103" i="10" s="1"/>
  <c r="R236" i="10"/>
  <c r="BK311" i="10"/>
  <c r="J311" i="10" s="1"/>
  <c r="J106" i="10" s="1"/>
  <c r="P267" i="10"/>
  <c r="R311" i="10"/>
  <c r="P257" i="10"/>
  <c r="BK267" i="10"/>
  <c r="J267" i="10" s="1"/>
  <c r="J105" i="10" s="1"/>
  <c r="T267" i="10"/>
  <c r="T320" i="10"/>
  <c r="T236" i="10"/>
  <c r="H256" i="10"/>
  <c r="R257" i="10"/>
  <c r="P320" i="10"/>
  <c r="H325" i="10"/>
  <c r="J38" i="10"/>
  <c r="P134" i="10"/>
  <c r="F39" i="10"/>
  <c r="BK134" i="10"/>
  <c r="J134" i="10" s="1"/>
  <c r="J101" i="10" s="1"/>
  <c r="F40" i="10"/>
  <c r="F38" i="10"/>
  <c r="T134" i="10"/>
  <c r="F41" i="10"/>
  <c r="R267" i="10"/>
  <c r="T311" i="10"/>
  <c r="R320" i="10"/>
  <c r="R134" i="10"/>
  <c r="P236" i="10"/>
  <c r="T257" i="10"/>
  <c r="BK257" i="10"/>
  <c r="J257" i="10" s="1"/>
  <c r="J104" i="10" s="1"/>
  <c r="P311" i="10"/>
  <c r="BK320" i="10"/>
  <c r="J320" i="10" s="1"/>
  <c r="J107" i="10" s="1"/>
  <c r="F95" i="15"/>
  <c r="J129" i="16"/>
  <c r="E84" i="15"/>
  <c r="J95" i="12"/>
  <c r="J129" i="10"/>
  <c r="F37" i="11"/>
  <c r="J37" i="11"/>
  <c r="J37" i="12"/>
  <c r="F37" i="12"/>
  <c r="J37" i="10"/>
  <c r="F37" i="10"/>
  <c r="E84" i="10"/>
  <c r="F129" i="10"/>
  <c r="F95" i="11"/>
  <c r="E84" i="12"/>
  <c r="J125" i="12"/>
  <c r="J126" i="10"/>
  <c r="J92" i="11"/>
  <c r="J95" i="11"/>
  <c r="E84" i="11"/>
  <c r="F95" i="12"/>
  <c r="J95" i="13"/>
  <c r="F128" i="13"/>
  <c r="T223" i="13"/>
  <c r="T133" i="13" s="1"/>
  <c r="J37" i="15"/>
  <c r="F37" i="15"/>
  <c r="E84" i="13"/>
  <c r="J223" i="13"/>
  <c r="BE223" i="13" s="1"/>
  <c r="J37" i="13" s="1"/>
  <c r="P134" i="15"/>
  <c r="T230" i="15"/>
  <c r="T254" i="15"/>
  <c r="P223" i="13"/>
  <c r="P133" i="13" s="1"/>
  <c r="BK223" i="13"/>
  <c r="BK133" i="13" s="1"/>
  <c r="F40" i="15"/>
  <c r="F39" i="15"/>
  <c r="J37" i="16"/>
  <c r="F37" i="16"/>
  <c r="P230" i="15"/>
  <c r="R245" i="15"/>
  <c r="P254" i="15"/>
  <c r="F95" i="16"/>
  <c r="F129" i="16"/>
  <c r="F39" i="16"/>
  <c r="F41" i="16"/>
  <c r="R252" i="16"/>
  <c r="J126" i="15"/>
  <c r="J129" i="15"/>
  <c r="E84" i="16"/>
  <c r="BK133" i="16" l="1"/>
  <c r="T133" i="16"/>
  <c r="T132" i="16" s="1"/>
  <c r="P133" i="16"/>
  <c r="P132" i="16" s="1"/>
  <c r="R133" i="16"/>
  <c r="R132" i="16" s="1"/>
  <c r="J134" i="16"/>
  <c r="J101" i="16" s="1"/>
  <c r="T133" i="15"/>
  <c r="T132" i="15" s="1"/>
  <c r="BK133" i="15"/>
  <c r="BK132" i="15" s="1"/>
  <c r="J132" i="15" s="1"/>
  <c r="F9" i="8" s="1"/>
  <c r="R133" i="15"/>
  <c r="R132" i="15" s="1"/>
  <c r="T132" i="12"/>
  <c r="T131" i="12" s="1"/>
  <c r="P132" i="12"/>
  <c r="P131" i="12" s="1"/>
  <c r="J133" i="12"/>
  <c r="J101" i="12" s="1"/>
  <c r="R132" i="12"/>
  <c r="R131" i="12" s="1"/>
  <c r="J132" i="12"/>
  <c r="J100" i="12" s="1"/>
  <c r="BK131" i="12"/>
  <c r="J131" i="12" s="1"/>
  <c r="F7" i="8" s="1"/>
  <c r="P132" i="11"/>
  <c r="P131" i="11" s="1"/>
  <c r="R132" i="11"/>
  <c r="R131" i="11" s="1"/>
  <c r="T132" i="11"/>
  <c r="T131" i="11" s="1"/>
  <c r="BK132" i="11"/>
  <c r="T132" i="13"/>
  <c r="T131" i="13" s="1"/>
  <c r="R132" i="13"/>
  <c r="R131" i="13" s="1"/>
  <c r="P132" i="13"/>
  <c r="P131" i="13" s="1"/>
  <c r="P133" i="10"/>
  <c r="P132" i="10" s="1"/>
  <c r="T133" i="10"/>
  <c r="T132" i="10" s="1"/>
  <c r="R133" i="10"/>
  <c r="R132" i="10" s="1"/>
  <c r="BK133" i="10"/>
  <c r="J133" i="10" s="1"/>
  <c r="J100" i="10" s="1"/>
  <c r="F37" i="13"/>
  <c r="P133" i="15"/>
  <c r="P132" i="15" s="1"/>
  <c r="BK132" i="13"/>
  <c r="J133" i="13"/>
  <c r="J101" i="13" s="1"/>
  <c r="J133" i="15"/>
  <c r="J100" i="15" s="1"/>
  <c r="BK132" i="16" l="1"/>
  <c r="J132" i="16" s="1"/>
  <c r="J133" i="16"/>
  <c r="J100" i="16" s="1"/>
  <c r="J34" i="12"/>
  <c r="J43" i="12" s="1"/>
  <c r="J99" i="12"/>
  <c r="BK131" i="11"/>
  <c r="J131" i="11" s="1"/>
  <c r="J132" i="11"/>
  <c r="J100" i="11" s="1"/>
  <c r="BK132" i="10"/>
  <c r="J132" i="10" s="1"/>
  <c r="F5" i="8" s="1"/>
  <c r="J34" i="15"/>
  <c r="J99" i="15"/>
  <c r="J132" i="13"/>
  <c r="J100" i="13" s="1"/>
  <c r="BK131" i="13"/>
  <c r="J131" i="13" s="1"/>
  <c r="F8" i="8" s="1"/>
  <c r="J99" i="16" l="1"/>
  <c r="J34" i="16"/>
  <c r="J43" i="16" s="1"/>
  <c r="F6" i="8"/>
  <c r="J34" i="11"/>
  <c r="J43" i="11" s="1"/>
  <c r="J99" i="11"/>
  <c r="J34" i="10"/>
  <c r="J43" i="10" s="1"/>
  <c r="J99" i="10"/>
  <c r="J43" i="15"/>
  <c r="J99" i="13"/>
  <c r="J34" i="13"/>
  <c r="J43" i="13" l="1"/>
  <c r="F12" i="8" l="1"/>
</calcChain>
</file>

<file path=xl/sharedStrings.xml><?xml version="1.0" encoding="utf-8"?>
<sst xmlns="http://schemas.openxmlformats.org/spreadsheetml/2006/main" count="10400" uniqueCount="562">
  <si>
    <t/>
  </si>
  <si>
    <t>False</t>
  </si>
  <si>
    <t>&gt;&gt;  skryté sloupce  &lt;&lt;</t>
  </si>
  <si>
    <t>21</t>
  </si>
  <si>
    <t>15</t>
  </si>
  <si>
    <t>v ---  níže se nacházejí doplnkové a pomocné údaje k sestavám  --- v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</si>
  <si>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</si>
  <si>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</si>
  <si>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</si>
  <si>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</si>
  <si>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</si>
  <si>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</si>
  <si>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</si>
  <si>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</si>
  <si>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Petřvald</t>
  </si>
  <si>
    <t>DIČ:</t>
  </si>
  <si>
    <t>Uchazeč:</t>
  </si>
  <si>
    <t>Projektant:</t>
  </si>
  <si>
    <t>Sweco Hydroprojekt a.s., divize Morava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</si>
  <si>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</si>
  <si>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</si>
  <si>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</si>
  <si>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</si>
  <si>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</si>
  <si>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</si>
  <si>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</si>
  <si>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</si>
  <si>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</si>
  <si>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</si>
  <si>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</si>
  <si>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</si>
  <si>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</si>
  <si>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</si>
  <si>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</si>
  <si>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</si>
  <si>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</si>
  <si>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</si>
  <si>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</si>
  <si>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</si>
  <si>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</si>
  <si>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</si>
  <si>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Kód</t>
  </si>
  <si>
    <t>Popis</t>
  </si>
  <si>
    <t>Typ</t>
  </si>
  <si>
    <t>D</t>
  </si>
  <si>
    <t>0</t>
  </si>
  <si>
    <t>1</t>
  </si>
  <si>
    <t>2</t>
  </si>
  <si>
    <t>3</t>
  </si>
  <si>
    <t>KRYCÍ LIST SOUPISU PRACÍ</t>
  </si>
  <si>
    <t>Objekt:</t>
  </si>
  <si>
    <t>01 - Kanalizace Podlesí</t>
  </si>
  <si>
    <t>Soupis: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</si>
  <si>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</si>
  <si>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</si>
  <si>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</si>
  <si>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</si>
  <si>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</si>
  <si>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</si>
  <si>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</si>
  <si>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</si>
  <si>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</si>
  <si>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</si>
  <si>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</si>
  <si>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</si>
  <si>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</si>
  <si>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</si>
  <si>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</si>
  <si>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</si>
  <si>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</si>
  <si>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</si>
  <si>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</si>
  <si>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</si>
  <si>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</si>
  <si>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</si>
  <si>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</si>
  <si>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</si>
  <si>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12</t>
  </si>
  <si>
    <t>K</t>
  </si>
  <si>
    <t>132154206</t>
  </si>
  <si>
    <t>Hloubení zapažených rýh š do 2000 mm v hornině třídy těžitelnosti I, skupiny 1 a 2 objem do 5000 m3</t>
  </si>
  <si>
    <t>m3</t>
  </si>
  <si>
    <t>CS ÚRS 2020 02</t>
  </si>
  <si>
    <t>4</t>
  </si>
  <si>
    <t>PP</t>
  </si>
  <si>
    <t>Hloubení zapažených rýh šířky přes 800 do 2 000 mm strojně s urovnáním dna do předepsaného profilu a spádu v hornině třídy těžitelnosti I skupiny 1 a 2 přes 1 000 do 5 000 m3 s naložením na dopravní prostředek</t>
  </si>
  <si>
    <t>P</t>
  </si>
  <si>
    <t>VV</t>
  </si>
  <si>
    <t>Mezisoučet</t>
  </si>
  <si>
    <t>13</t>
  </si>
  <si>
    <t>132254206</t>
  </si>
  <si>
    <t>Hloubení zapažených rýh š do 2000 mm v hornině třídy těžitelnosti I, skupiny 3 objem do 5000 m3</t>
  </si>
  <si>
    <t>Hloubení zapažených rýh šířky přes 800 do 2 000 mm strojně s urovnáním dna do předepsaného profilu a spádu v hornině třídy těžitelnosti I skupiny 3 přes 1 000 do 5 000 m3 s naložením na dopravní prostředek</t>
  </si>
  <si>
    <t>14</t>
  </si>
  <si>
    <t>139001101</t>
  </si>
  <si>
    <t>Příplatek za ztížení vykopávky v blízkosti podzemního vedení - ruční výkop</t>
  </si>
  <si>
    <t>Příplatek k cenám hloubených vykopávek za ztížení vykopávky v blízkosti podzemního vedení nebo výbušnin pro jakoukoliv třídu horniny</t>
  </si>
  <si>
    <t>20% z výkopu</t>
  </si>
  <si>
    <t>151811132</t>
  </si>
  <si>
    <t>Osazení pažicího boxu hl výkopu do 4 m š do 2,5 m</t>
  </si>
  <si>
    <t>m2</t>
  </si>
  <si>
    <t>Zřízení pažicích boxů pro pažení a rozepření stěn rýh podzemního vedení hloubka výkopu do 4 m, šířka přes 1,2 do 2,5 m</t>
  </si>
  <si>
    <t>Poznámka k položce:_x000D_
viz TZ př. č. D.1.1.01.1, situace C3  a v.č. D.1.1.01.2 až 11</t>
  </si>
  <si>
    <t>Součet</t>
  </si>
  <si>
    <t>16</t>
  </si>
  <si>
    <t>151811232</t>
  </si>
  <si>
    <t>Odstranění pažicího boxu hl výkopu do 4 m š do 2,5 m</t>
  </si>
  <si>
    <t>Odstranění pažicích boxů pro pažení a rozepření stěn rýh podzemního vedení hloubka výkopu do 4 m, šířka přes 1,2 do 2,5 m</t>
  </si>
  <si>
    <t>17</t>
  </si>
  <si>
    <t>162751117</t>
  </si>
  <si>
    <t>Vodorovné přemístění do 10000 m výkopku/sypaniny z horniny třídy těžitelnosti I, skupiny 1 až 3 - na trvalou skládku, popř. mezideponii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</si>
  <si>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</si>
  <si>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18</t>
  </si>
  <si>
    <t>162751119</t>
  </si>
  <si>
    <t>Příplatek k vodorovnému přemístění výkopku/sypaniny z horniny třídy těžitelnosti I, skupiny 1 až 3 ZKD 1000 m přes 10000 m - na trvalou skládku, popř. mezideponii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</si>
  <si>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</si>
  <si>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20</t>
  </si>
  <si>
    <t>171201231</t>
  </si>
  <si>
    <t>Poplatek za uložení zeminy a kamení na recyklační skládce (skládkovné) kód odpadu 17 05 04</t>
  </si>
  <si>
    <t>t</t>
  </si>
  <si>
    <t>Poplatek za uložení stavebního odpadu na recyklační skládce (skládkovné) zeminy a kamení zatříděného do Katalogu odpadů pod kódem 17 05 04</t>
  </si>
  <si>
    <t>174151101</t>
  </si>
  <si>
    <t>Zásyp jam, šachet rýh nebo kolem objektů sypaninou se zhutněním</t>
  </si>
  <si>
    <t>Zásyp sypaninou z jakékoliv horniny strojně s uložením výkopku ve vrstvách se zhutněním jam, šachet, rýh nebo kolem objektů v těchto vykopávkách</t>
  </si>
  <si>
    <t xml:space="preserve">výkop </t>
  </si>
  <si>
    <t>22</t>
  </si>
  <si>
    <t>M</t>
  </si>
  <si>
    <t>58344197</t>
  </si>
  <si>
    <t>přírodní drcené kamenivo (štěrkodrť), frakce 0-63 mm</t>
  </si>
  <si>
    <t>8</t>
  </si>
  <si>
    <t>Poznámka k položce:_x000D_
nepřípustný popílek, struska, hlušina (haldovina), recykláty</t>
  </si>
  <si>
    <t>25</t>
  </si>
  <si>
    <t>998225111</t>
  </si>
  <si>
    <t>Přesun hmot pro pozemní komunikace s krytem z kamene, monolitickým betonovým nebo živičným</t>
  </si>
  <si>
    <t>Přesun hmot pro komunikace s krytem z kameniva, monolitickým betonovým nebo živičným  dopravní vzdálenost do 200 m jakékoliv délky objektu</t>
  </si>
  <si>
    <t xml:space="preserve">    998 - Přesun hmot</t>
  </si>
  <si>
    <t>998</t>
  </si>
  <si>
    <t>Přesun hmot</t>
  </si>
  <si>
    <t>27</t>
  </si>
  <si>
    <t>19</t>
  </si>
  <si>
    <t>výkop</t>
  </si>
  <si>
    <t>23</t>
  </si>
  <si>
    <t>44</t>
  </si>
  <si>
    <t>26</t>
  </si>
  <si>
    <t>58337302</t>
  </si>
  <si>
    <t>štěrkopísek frakce 8/16</t>
  </si>
  <si>
    <t>113107224,1</t>
  </si>
  <si>
    <t>Odstranění podkladu z kameniva drceného tl 400 mm strojně pl přes 200 m2 - před finálním zapravením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</si>
  <si>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</si>
  <si>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113107224</t>
  </si>
  <si>
    <t>Odstranění podkladu z kameniva drceného tl 400 mm strojně pl přes 200 m2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</si>
  <si>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</si>
  <si>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</si>
  <si>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nad rýhou</t>
  </si>
  <si>
    <t>171152501</t>
  </si>
  <si>
    <t>Zhutnění podloží z hornin soudržných nebo nesoudržných pod násypy</t>
  </si>
  <si>
    <t>Zhutnění podloží pod násypy z rostlé horniny třídy těžitelnosti I a II, skupiny 1 až 4 z hornin soudružných a nesoudržných</t>
  </si>
  <si>
    <t>obsyp</t>
  </si>
  <si>
    <t>lóže</t>
  </si>
  <si>
    <t>podkladní desky</t>
  </si>
  <si>
    <t>dosyp 50mm pod uroveň frézování</t>
  </si>
  <si>
    <t>24</t>
  </si>
  <si>
    <t>175111101</t>
  </si>
  <si>
    <t>Obsypání potrubí ručně sypaninou bez prohození, uloženou do 3 m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</si>
  <si>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</si>
  <si>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29</t>
  </si>
  <si>
    <t>451573111</t>
  </si>
  <si>
    <t>Lože pod potrubí otevřený výkop z písku fr 0-4mm</t>
  </si>
  <si>
    <t>Lože pod potrubí, stoky a drobné objekty v otevřeném výkopu z písku a štěrkopísku do 63 mm</t>
  </si>
  <si>
    <t>39</t>
  </si>
  <si>
    <t>564251111</t>
  </si>
  <si>
    <t>Podklad nebo podsyp ze štěrkopísku ŠP tl 150 mm fr 0-32mm</t>
  </si>
  <si>
    <t>Podklad nebo podsyp ze štěrkopísku ŠP  s rozprostřením, vlhčením a zhutněním, po zhutnění tl. 150 mm</t>
  </si>
  <si>
    <t>40</t>
  </si>
  <si>
    <t>564861111</t>
  </si>
  <si>
    <t>Podklad ze štěrkodrtě ŠD tl 200 mm frakce 0-32 mm</t>
  </si>
  <si>
    <t>Podklad ze štěrkodrti ŠD  s rozprostřením a zhutněním, po zhutnění tl. 200 mm</t>
  </si>
  <si>
    <t>42</t>
  </si>
  <si>
    <t>565135111</t>
  </si>
  <si>
    <t>Asfaltový beton vrstva podkladní ACP 16 (obalované kamenivo OKS) tl 50 mm š do 3 m</t>
  </si>
  <si>
    <t>Asfaltový beton vrstva podkladní ACP 16 (obalované kamenivo střednězrnné - OKS)  s rozprostřením a zhutněním v pruhu šířky přes 1,5 do 3 m, po zhutnění tl. 50 mm</t>
  </si>
  <si>
    <t>997221551</t>
  </si>
  <si>
    <t>Vodorovná doprava suti ze sypkých materiálů do 1 km</t>
  </si>
  <si>
    <t>Vodorovná doprava suti  bez naložení, ale se složením a s hrubým urovnáním ze sypkých materiálů, na vzdálenost do 1 km</t>
  </si>
  <si>
    <t xml:space="preserve">"kamenivo" </t>
  </si>
  <si>
    <t xml:space="preserve">"asfalt" </t>
  </si>
  <si>
    <t>997221559</t>
  </si>
  <si>
    <t>Příplatek ZKD 1 km u vodorovné dopravy suti ze sypkých materiálů</t>
  </si>
  <si>
    <t>Vodorovná doprava suti  bez naložení, ale se složením a s hrubým urovnáním Příplatek k ceně za každý další i započatý 1 km přes 1 km</t>
  </si>
  <si>
    <t>997221611</t>
  </si>
  <si>
    <t>Nakládání suti na dopravní prostředky pro vodorovnou dopravu</t>
  </si>
  <si>
    <t>Nakládání na dopravní prostředky  pro vodorovnou dopravu suti</t>
  </si>
  <si>
    <t>997221873</t>
  </si>
  <si>
    <t>997221875</t>
  </si>
  <si>
    <t>Poplatek za uložení stavebního odpadu na recyklační skládce (skládkovné) asfaltového bez obsahu dehtu zatříděného do Katalogu odpadů pod kódem 17 03 02</t>
  </si>
  <si>
    <t>{93b811ea-c0b5-4ac9-9fbc-eb3052bc53d3}</t>
  </si>
  <si>
    <t>{13766e4f-b82d-4784-9666-512a1a92c8a9}</t>
  </si>
  <si>
    <t>{965a467d-c5ed-4deb-8497-c843f37aa4ba}</t>
  </si>
  <si>
    <t>{75c03dfa-8e7d-42c1-836d-04126b550780}</t>
  </si>
  <si>
    <t>{2efb0a67-392e-4191-b092-661d0c3fc977}</t>
  </si>
  <si>
    <t>{8c0c9402-f334-4767-9f01-22d3c8b0358c}</t>
  </si>
  <si>
    <t>001 - SO 01 Gravitační kanalizace</t>
  </si>
  <si>
    <t>Úroveň 4:</t>
  </si>
  <si>
    <t>22122</t>
  </si>
  <si>
    <t>CZ-CPV:</t>
  </si>
  <si>
    <t>45232410-9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</si>
  <si>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</si>
  <si>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</si>
  <si>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</si>
  <si>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</si>
  <si>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</si>
  <si>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</si>
  <si>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.</t>
  </si>
  <si>
    <t>-359303775</t>
  </si>
  <si>
    <t>-4547188</t>
  </si>
  <si>
    <t>Odstranění podkladu živičného tl 50 mm strojně pl přes 200 m2</t>
  </si>
  <si>
    <t>366333855</t>
  </si>
  <si>
    <t>Poznámka k položce:_x000D_
viz TZ př. č. D.1.1.01.12, situace C3  a v.č. D.1.1.01.13 až 19, výpis přípojek D.1.1.01.1.12</t>
  </si>
  <si>
    <t>121151113</t>
  </si>
  <si>
    <t>Sejmutí ornice plochy do 500 m2 tl vrstvy do 200 mm strojně</t>
  </si>
  <si>
    <t>-1982786999</t>
  </si>
  <si>
    <t>Sejmutí ornice strojně při souvislé ploše přes 100 do 500 m2, tl. vrstvy do 200 mm</t>
  </si>
  <si>
    <t>tl.100mm, uvažováno 10% z délek přípojek</t>
  </si>
  <si>
    <t>5</t>
  </si>
  <si>
    <t>973732719</t>
  </si>
  <si>
    <t>Poznámka k položce:_x000D_
viz TZ př. č. D.1.1.01.12, situace C3  a v.č. D.1.1.01.13 až 19, výpis přípojek D.1.1.01.1.12_x000D_
50% hor.tř. II a 50% hor.tř.III</t>
  </si>
  <si>
    <t>místní komunikace, tl.450mm, odebráno v rámci přípravných prací , uvažováno 90% z délek přípojek</t>
  </si>
  <si>
    <t>"rozšíření pro šachty DN600" 1,5*1,5*(2,4-0,45)*1-1,5*1*(2,2-0,45)*1</t>
  </si>
  <si>
    <t>6</t>
  </si>
  <si>
    <t>1824249026</t>
  </si>
  <si>
    <t>7</t>
  </si>
  <si>
    <t>-851461456</t>
  </si>
  <si>
    <t>948117997</t>
  </si>
  <si>
    <t>9</t>
  </si>
  <si>
    <t>1307594821</t>
  </si>
  <si>
    <t>10</t>
  </si>
  <si>
    <t>373550071</t>
  </si>
  <si>
    <t>11</t>
  </si>
  <si>
    <t>162751117,1</t>
  </si>
  <si>
    <t>Vodorovné přemístění do 10000 m výkopku/sypaniny z horniny třídy těžitelnosti I, skupiny 1 až 3 - zpět na stavbu</t>
  </si>
  <si>
    <t>-942558662</t>
  </si>
  <si>
    <t>1857615747</t>
  </si>
  <si>
    <t>162751119,1</t>
  </si>
  <si>
    <t>Příplatek k vodorovnému přemístění výkopku/sypaniny z horniny třídy těžitelnosti I, skupiny 1 až 3 ZKD 1000 m přes 10000 m - zpět na stavbu</t>
  </si>
  <si>
    <t>454373054</t>
  </si>
  <si>
    <t>167151111</t>
  </si>
  <si>
    <t>Nakládání výkopku z hornin třídy těžitelnosti I, skupiny 1 až 3 přes 100 m3 - zpět na stavbu</t>
  </si>
  <si>
    <t>571324877</t>
  </si>
  <si>
    <t>Nakládání, skládání a překládání neulehlého výkopku nebo sypaniny strojně nakládání, množství přes 100 m3, z hornin třídy těžitelnosti I, skupiny 1 až 3</t>
  </si>
  <si>
    <t>-2031693927</t>
  </si>
  <si>
    <t>"rozšíření pro šachty DN600" 1,5*1,5*1-1,5*1*1</t>
  </si>
  <si>
    <t>-1421537485</t>
  </si>
  <si>
    <t>na mezideponii</t>
  </si>
  <si>
    <t>zpět na stavbu</t>
  </si>
  <si>
    <t>-1598311982</t>
  </si>
  <si>
    <t>"OP šachet DN600" -3,14*0,5*0,5*2,2*1</t>
  </si>
  <si>
    <t>454428527</t>
  </si>
  <si>
    <t>1730486342</t>
  </si>
  <si>
    <t>-538860495</t>
  </si>
  <si>
    <t>181,2-R</t>
  </si>
  <si>
    <t>Zatravnění a ohumusování, vč. zálivky vodou a dodávky materiálů</t>
  </si>
  <si>
    <t>-400257443</t>
  </si>
  <si>
    <t>181351103</t>
  </si>
  <si>
    <t>Rozprostření ornice tl vrstvy do 200 mm pl do 500 m2 v rovině nebo ve svahu do 1:5 strojně</t>
  </si>
  <si>
    <t>-2029401739</t>
  </si>
  <si>
    <t>Rozprostření a urovnání ornice v rovině nebo ve svahu sklonu do 1:5 strojně při souvislé ploše přes 100 do 500 m2, tl. vrstvy do 200 mm</t>
  </si>
  <si>
    <t>404237477</t>
  </si>
  <si>
    <t>Zakládání</t>
  </si>
  <si>
    <t>212752111</t>
  </si>
  <si>
    <t>Trativod z drenážních trubek korugovaných PE-HD SN 4 perforace 220° včetně lože otevřený výkop DN 100 pro liniové stavby, vč. následného odstranění</t>
  </si>
  <si>
    <t>m</t>
  </si>
  <si>
    <t>1970770463</t>
  </si>
  <si>
    <t>Trativody z drenážních trubek pro liniové stavby a komunikace se zřízením štěrkového lože pod trubky a s jejich obsypem v otevřeném výkopu trubka korugovaná sendvičová PE-HD SN 4 perforace 220° DN 100</t>
  </si>
  <si>
    <t>145,1</t>
  </si>
  <si>
    <t>Vodorovné konstrukce</t>
  </si>
  <si>
    <t>-1586612543</t>
  </si>
  <si>
    <t>451573111,1</t>
  </si>
  <si>
    <t>Lože pod potrubí otevřený výkop ze štěrkopísku</t>
  </si>
  <si>
    <t>1899712747</t>
  </si>
  <si>
    <t>plastové DN425</t>
  </si>
  <si>
    <t>1*1*0,1*1</t>
  </si>
  <si>
    <t>plastové DN600</t>
  </si>
  <si>
    <t>1,5*1,5*0,1*1</t>
  </si>
  <si>
    <t>452311141</t>
  </si>
  <si>
    <t>Podkladní desky z betonu prostého tř. C 16/20 otevřený výkop X0</t>
  </si>
  <si>
    <t>1364637863</t>
  </si>
  <si>
    <t>Podkladní a zajišťovací konstrukce z betonu prostého v otevřeném výkopu desky pod potrubí, stoky a drobné objekty z betonu tř. C 16/20</t>
  </si>
  <si>
    <t>1,1*1,1*0,1*1</t>
  </si>
  <si>
    <t>Komunikace pozemní</t>
  </si>
  <si>
    <t>28</t>
  </si>
  <si>
    <t>-1736200566</t>
  </si>
  <si>
    <t>-1396389748</t>
  </si>
  <si>
    <t>30</t>
  </si>
  <si>
    <t>573111112</t>
  </si>
  <si>
    <t>Postřik živičný infiltrační s posypem z asfaltu množství 1 kg/m2</t>
  </si>
  <si>
    <t>2131222578</t>
  </si>
  <si>
    <t>Postřik infiltrační PI z asfaltu silničního s posypem kamenivem, v množství 1,00 kg/m2</t>
  </si>
  <si>
    <t>31</t>
  </si>
  <si>
    <t>640774089</t>
  </si>
  <si>
    <t>viz odstranění živičného podkladu, finální vstva asfaltobetonu viz stoka</t>
  </si>
  <si>
    <t>Trubní vedení</t>
  </si>
  <si>
    <t>32</t>
  </si>
  <si>
    <t>871315241</t>
  </si>
  <si>
    <t>Kanalizační potrubí z tvrdého PVC vícevrstvé tuhost třídy SN12 DN 150</t>
  </si>
  <si>
    <t>-39675936</t>
  </si>
  <si>
    <t>Kanalizační potrubí z tvrdého PVC v otevřeném výkopu ve sklonu do 20 %, hladkého plnostěnného vícevrstvého, tuhost třídy SN 12 DN 150</t>
  </si>
  <si>
    <t>33</t>
  </si>
  <si>
    <t>877315211</t>
  </si>
  <si>
    <t>Montáž tvarovek z tvrdého PVC-systém KG nebo z polypropylenu-systém KG 2000 jednoosé DN 160</t>
  </si>
  <si>
    <t>kus</t>
  </si>
  <si>
    <t>-928759875</t>
  </si>
  <si>
    <t>Montáž tvarovek na kanalizačním potrubí z trub z plastu  z tvrdého PVC nebo z polypropylenu v otevřeném výkopu jednoosých DN 160</t>
  </si>
  <si>
    <t>34</t>
  </si>
  <si>
    <t>28611361</t>
  </si>
  <si>
    <t>koleno kanalizační PVC KG 160x45°,(15°,30,45°)</t>
  </si>
  <si>
    <t>-1008592035</t>
  </si>
  <si>
    <t>koleno kanalizační PVC KG 160x45°</t>
  </si>
  <si>
    <t>35</t>
  </si>
  <si>
    <t>286,1-R</t>
  </si>
  <si>
    <t>trouba KG PVC DN150 zkrácená (dle potřeby)</t>
  </si>
  <si>
    <t>-1786525608</t>
  </si>
  <si>
    <t>36</t>
  </si>
  <si>
    <t>877315231</t>
  </si>
  <si>
    <t>Montáž víčka z tvrdého PVC-systém KG DN 160</t>
  </si>
  <si>
    <t>1540898265</t>
  </si>
  <si>
    <t>Montáž tvarovek na kanalizačním potrubí z trub z plastu  z tvrdého PVC nebo z polypropylenu v otevřeném výkopu víček DN 160</t>
  </si>
  <si>
    <t>1ks na přípojku</t>
  </si>
  <si>
    <t>38</t>
  </si>
  <si>
    <t>37</t>
  </si>
  <si>
    <t>28611722</t>
  </si>
  <si>
    <t>víčko kanalizace plastové KG DN 160</t>
  </si>
  <si>
    <t>561972481</t>
  </si>
  <si>
    <t>892351111</t>
  </si>
  <si>
    <t>Tlaková zkouška potrubí DN 150 nebo 200</t>
  </si>
  <si>
    <t>302556589</t>
  </si>
  <si>
    <t>Tlakové zkoušky na potrubí DN 150 nebo 200</t>
  </si>
  <si>
    <t>Poznámka k položce:_x000D_
zkouška bude porvedena vzduchem</t>
  </si>
  <si>
    <t>894812201</t>
  </si>
  <si>
    <t>Revizní a čistící šachta z PP šachtové dno DN 425/150 průtočné</t>
  </si>
  <si>
    <t>-827142595</t>
  </si>
  <si>
    <t>Revizní a čistící šachta z polypropylenu PP pro hladké trouby DN 425 šachtové dno (DN šachty / DN trubního vedení) DN 425/150 průtočné</t>
  </si>
  <si>
    <t>894812231</t>
  </si>
  <si>
    <t>Revizní a čistící šachta z PP DN 425 šachtová roura korugovaná bez hrdla světlé hloubky 1500 mm</t>
  </si>
  <si>
    <t>-147676965</t>
  </si>
  <si>
    <t>Revizní a čistící šachta z polypropylenu PP pro hladké trouby DN 425 roura šachtová korugovaná bez hrdla, světlé hloubky 1500 mm</t>
  </si>
  <si>
    <t>41</t>
  </si>
  <si>
    <t>894812241</t>
  </si>
  <si>
    <t>Revizní a čistící šachta z PP DN 425 šachtová roura teleskopická světlé hloubky 375 mm</t>
  </si>
  <si>
    <t>77108040</t>
  </si>
  <si>
    <t>Revizní a čistící šachta z polypropylenu PP pro hladké trouby DN 425 roura šachtová korugovaná teleskopická (včetně těsnění) 375 mm</t>
  </si>
  <si>
    <t>894812249</t>
  </si>
  <si>
    <t>Příplatek k rourám revizní a čistící šachty z PP DN 425 za uříznutí šachtové roury</t>
  </si>
  <si>
    <t>-1998528260</t>
  </si>
  <si>
    <t>Revizní a čistící šachta z polypropylenu PP pro hladké trouby DN 425 roura šachtová korugovaná Příplatek k cenám 2231 - 2242 za uříznutí šachtové roury</t>
  </si>
  <si>
    <t>43</t>
  </si>
  <si>
    <t>894812262</t>
  </si>
  <si>
    <t>Revizní a čistící šachta z PP DN 425 poklop litinový plný do teleskopické trubky pro třídu zatížení D400</t>
  </si>
  <si>
    <t>-108265227</t>
  </si>
  <si>
    <t>Revizní a čistící šachta z polypropylenu PP pro hladké trouby DN 425 poklop litinový (pro třídu zatížení) plný do teleskopické trubky (D400)</t>
  </si>
  <si>
    <t>894812311</t>
  </si>
  <si>
    <t>Revizní a čistící šachta z PP typ DN 600/160 šachtové dno průtočné</t>
  </si>
  <si>
    <t>1287662789</t>
  </si>
  <si>
    <t>Revizní a čistící šachta z polypropylenu PP pro hladké trouby DN 600 šachtové dno (DN šachty / DN trubního vedení) DN 600/160 průtočné</t>
  </si>
  <si>
    <t>45</t>
  </si>
  <si>
    <t>894812332</t>
  </si>
  <si>
    <t>Revizní a čistící šachta z PP DN 600 šachtová roura korugovaná světlé hloubky 2000 mm</t>
  </si>
  <si>
    <t>-1076020812</t>
  </si>
  <si>
    <t>Revizní a čistící šachta z polypropylenu PP pro hladké trouby DN 600 roura šachtová korugovaná, světlé hloubky 2 000 mm</t>
  </si>
  <si>
    <t>46</t>
  </si>
  <si>
    <t>894812339</t>
  </si>
  <si>
    <t>Příplatek k rourám revizní a čistící šachty z PP DN 600 za uříznutí šachtové roury</t>
  </si>
  <si>
    <t>943025425</t>
  </si>
  <si>
    <t>Revizní a čistící šachta z polypropylenu PP pro hladké trouby DN 600 Příplatek k cenám 2331 - 2334 za uříznutí šachtové roury</t>
  </si>
  <si>
    <t>47</t>
  </si>
  <si>
    <t>894812377</t>
  </si>
  <si>
    <t>Revizní a čistící šachta z PP DN 600 poklop litinový pro třídu zatížení D400 s teleskopickým adaptérem</t>
  </si>
  <si>
    <t>-976969399</t>
  </si>
  <si>
    <t>Revizní a čistící šachta z polypropylenu PP pro hladké trouby DN 600 poklop (mříž) litinový pro třídu zatížení D400 s teleskopickým adaptérem</t>
  </si>
  <si>
    <t>Ostatní konstrukce a práce, bourání</t>
  </si>
  <si>
    <t>48</t>
  </si>
  <si>
    <t>940,1-R</t>
  </si>
  <si>
    <t>Dodávka + montáž zateplení poloviny revizní šachty DN600 polystyrenem XPS tl.2x100mm, plocha cca 3,0m2/ks,  nalepením pomocí PUR pěny</t>
  </si>
  <si>
    <t>ks</t>
  </si>
  <si>
    <t>471898563</t>
  </si>
  <si>
    <t>Poznámka k položce:_x000D_
viz TZ př. č. D.1.1.01.12, situace C3  a v.č. D.1.1.01.13 až 20, výpis přípojek D.1.1.01.1.12</t>
  </si>
  <si>
    <t>49</t>
  </si>
  <si>
    <t>940,2-R</t>
  </si>
  <si>
    <t>Dodávka + montáž zateplení poloviny revizní šachty DN425 polystyrenem XPS tl.2x100mm, plocha cca 2,1m2/ks,  nalepením pomocí PUR pěny</t>
  </si>
  <si>
    <t>-2078426827</t>
  </si>
  <si>
    <t>50</t>
  </si>
  <si>
    <t>997</t>
  </si>
  <si>
    <t>Přesun sutě</t>
  </si>
  <si>
    <t>51</t>
  </si>
  <si>
    <t>-1707344347</t>
  </si>
  <si>
    <t>52</t>
  </si>
  <si>
    <t>107822234</t>
  </si>
  <si>
    <t>53</t>
  </si>
  <si>
    <t>-1484168037</t>
  </si>
  <si>
    <t>54</t>
  </si>
  <si>
    <t>244868275</t>
  </si>
  <si>
    <t>55</t>
  </si>
  <si>
    <t>1982374320</t>
  </si>
  <si>
    <t>56</t>
  </si>
  <si>
    <t>998276101</t>
  </si>
  <si>
    <t>Přesun hmot pro trubní vedení z trub z plastických hmot otevřený výkop</t>
  </si>
  <si>
    <t>-1030149203</t>
  </si>
  <si>
    <t>Přesun hmot pro trubní vedení hloubené z trub z plastických hmot nebo sklolaminátových pro vodovody nebo kanalizace v otevřeném výkopu dopravní vzdálenost do 15 m</t>
  </si>
  <si>
    <t>uvažováno 90% z délek přípojek,  frézování viz stoka</t>
  </si>
  <si>
    <t>v zeleni, tl.100mm, odebráno v rámci přípravných prací</t>
  </si>
  <si>
    <t>ornice</t>
  </si>
  <si>
    <t>1*0,1</t>
  </si>
  <si>
    <t>1*1*0,1*2</t>
  </si>
  <si>
    <t>"kamenivo"</t>
  </si>
  <si>
    <t>"OP šachet DN425" -3,14*0,21*0,21*2,2*3</t>
  </si>
  <si>
    <t>Poznámka k položce:_x000D_
viz TZ př. č. D.1.1.01.12, situace C3  a v.č. D.1.1.01.13 až 19, výpis přípojek D.1.1.01.3.12</t>
  </si>
  <si>
    <t>Poznámka k položce:_x000D_
viz TZ př. č. D.1.1.01.12, situace C3  a v.č. D.1.1.01.13 až 19, výpis přípojek D.1.1.01.3.12_x000D_
50% hor.tř. II a 50% hor.tř.III</t>
  </si>
  <si>
    <t>34,57*1,8 'Přepočtené koeficientem množství</t>
  </si>
  <si>
    <t xml:space="preserve">"OP šachet DN425" </t>
  </si>
  <si>
    <t>Celkem</t>
  </si>
  <si>
    <t>Odbočení stoka A</t>
  </si>
  <si>
    <t>Odbočení stoka A3</t>
  </si>
  <si>
    <t>Odbočení stoka A4</t>
  </si>
  <si>
    <t>Odbočení stoka A4a</t>
  </si>
  <si>
    <t>Odbočení stoka D</t>
  </si>
  <si>
    <t>Odbočení stoka D3</t>
  </si>
  <si>
    <t>REKAPITULACE</t>
  </si>
  <si>
    <t>"DN150" 17,7*1*(2,2-0,45)*0,9</t>
  </si>
  <si>
    <t>29,64*0,5</t>
  </si>
  <si>
    <t>(14,82+14,82)*0,2</t>
  </si>
  <si>
    <t>"DN150" 17,7*2,2*2</t>
  </si>
  <si>
    <t>14,82+14,82</t>
  </si>
  <si>
    <t>29,64*5 'Přepočtené koeficientem množství</t>
  </si>
  <si>
    <t>"DN150" 17,7*1</t>
  </si>
  <si>
    <t>2,964*5 'Přepočtené koeficientem množství</t>
  </si>
  <si>
    <t>26,676*1,8 'Přepočtené koeficientem množství</t>
  </si>
  <si>
    <t>"DN150" 17,7*1*0,45</t>
  </si>
  <si>
    <t>"DN150" 17,7*1*0,1</t>
  </si>
  <si>
    <t>1*1*0,1*3</t>
  </si>
  <si>
    <t>17,7*(0,45-0,05)</t>
  </si>
  <si>
    <t>23,923*2 'Přepočtené koeficientem množství</t>
  </si>
  <si>
    <t>7,965*2 'Přepočtené koeficientem množství</t>
  </si>
  <si>
    <t>47,846+15,93</t>
  </si>
  <si>
    <t>10,16*14 'Přepočtené koeficientem množství</t>
  </si>
  <si>
    <t>"DN150" 17,7*0,1</t>
  </si>
  <si>
    <t>17,7-1,77</t>
  </si>
  <si>
    <t>"kamenivo" 15,93*0,35*2</t>
  </si>
  <si>
    <t>"asfalt" 15,93*0,05*2</t>
  </si>
  <si>
    <t>5,47 x 0,1</t>
  </si>
  <si>
    <t>5,47-0,547</t>
  </si>
  <si>
    <t>"DN150" 5,47*1*(2,2-0,45)*0,9</t>
  </si>
  <si>
    <t>"DN150" 5,47*1*(2,2-0,1)*0,1</t>
  </si>
  <si>
    <t>9,573*0,5</t>
  </si>
  <si>
    <t>9,573*0,2</t>
  </si>
  <si>
    <t>"DN150" 5,47*2,2*2</t>
  </si>
  <si>
    <t>9,536*0,1</t>
  </si>
  <si>
    <t>9,536*5 'Přepočtené koeficientem množství</t>
  </si>
  <si>
    <t>0,954*5 'Přepočtené koeficientem množství</t>
  </si>
  <si>
    <t>"DN150" 5,47*1</t>
  </si>
  <si>
    <t>8,582*1,8 'Přepočtené koeficientem množství</t>
  </si>
  <si>
    <t>4,768+4,768</t>
  </si>
  <si>
    <t>"DN150" 5,47*1*0,45</t>
  </si>
  <si>
    <t>"DN150" 5,47*1*0,1</t>
  </si>
  <si>
    <t>"OP šachet DN425" -3,14*0,21*0,21*2,2*2</t>
  </si>
  <si>
    <t>5,47*(0,45-0,05)</t>
  </si>
  <si>
    <t>8,106*2 'Přepočtené koeficientem množství</t>
  </si>
  <si>
    <t>2,462*2 'Přepočtené koeficientem množství</t>
  </si>
  <si>
    <t>16,212+4,924</t>
  </si>
  <si>
    <t>4,376*14 'Přepočtené koeficientem množství</t>
  </si>
  <si>
    <t>2,01-0,1*2,01</t>
  </si>
  <si>
    <t>2,01*0,1</t>
  </si>
  <si>
    <t>"DN150" 2,01*1*(2,2-0,45)*0,9</t>
  </si>
  <si>
    <t>"DN150" 2,01*1*(2,2-0,1)*0,1</t>
  </si>
  <si>
    <t>3,588*0,5</t>
  </si>
  <si>
    <t>(1,794+1,794)*0,2</t>
  </si>
  <si>
    <t>"DN150" 2,01*2,2*2</t>
  </si>
  <si>
    <t>1,794+1,794</t>
  </si>
  <si>
    <t>3,688*5 'Přepočtené koeficientem množství</t>
  </si>
  <si>
    <t>0,3688*5 'Přepočtené koeficientem množství</t>
  </si>
  <si>
    <t>"DN150" 2,01*1</t>
  </si>
  <si>
    <t>3,32*1,8 'Přepočtené koeficientem množství</t>
  </si>
  <si>
    <t>"DN150" 2,01*1*0,45</t>
  </si>
  <si>
    <t>0,905*2 'Přepočtené koeficientem množství</t>
  </si>
  <si>
    <t>"DN150" 2,01*1*0,1</t>
  </si>
  <si>
    <t>plastové DN400</t>
  </si>
  <si>
    <t xml:space="preserve">"OP šachet DN400" </t>
  </si>
  <si>
    <t>2,01*(0,45-0,05)</t>
  </si>
  <si>
    <t>2,94*2 'Přepočtené koeficientem množství</t>
  </si>
  <si>
    <t>5,88+1,81</t>
  </si>
  <si>
    <t>"kamenivo" 1,809x0,4*2</t>
  </si>
  <si>
    <t>"asfalt" 1,809*0,05*2</t>
  </si>
  <si>
    <t>1,628*14 'Přepočtené koeficientem množství</t>
  </si>
  <si>
    <t>00005 - DSO 01.1.1e Kanalizační odbočení Stoky A4-Oa42e(2,03m), Oa42f(1,95m)</t>
  </si>
  <si>
    <t>(2,03+1,95)-0,1*(2,03+1,95)</t>
  </si>
  <si>
    <t>3,98*0,1</t>
  </si>
  <si>
    <t>"DN150" 3,98*1*(2,2-0,45)*0,9</t>
  </si>
  <si>
    <t>"DN150" 2*1*(2,2-0,1)*0,1</t>
  </si>
  <si>
    <t>6,415*0,5</t>
  </si>
  <si>
    <t>(3,208+3,208)*0,2</t>
  </si>
  <si>
    <t>"DN150" 2*2,2*2</t>
  </si>
  <si>
    <t>3,208+3,208</t>
  </si>
  <si>
    <t>0,6416*5 'Přepočtené koeficientem množství</t>
  </si>
  <si>
    <t>0,642*5 'Přepočtené koeficientem množství</t>
  </si>
  <si>
    <t>"DN150" 3,98*1</t>
  </si>
  <si>
    <t>5,774*1,8 'Přepočtené koeficientem množství</t>
  </si>
  <si>
    <t>"DN150" 3,98*1*0,45</t>
  </si>
  <si>
    <t>1,791*2 'Přepočtené koeficientem množství</t>
  </si>
  <si>
    <t>"DN150" 3,98*1*0,1</t>
  </si>
  <si>
    <t>"OP šachet DN425"</t>
  </si>
  <si>
    <t>3,98*(0,45-0,05)</t>
  </si>
  <si>
    <t>5,419*2 'Přepočtené koeficientem množství</t>
  </si>
  <si>
    <t>10,838+3,582</t>
  </si>
  <si>
    <t>"kamenivo" 3,582*0,4*2</t>
  </si>
  <si>
    <t>"asfalt" 3,582*0,05*2</t>
  </si>
  <si>
    <t>3,224*14 'Přepočtené koeficientem množství</t>
  </si>
  <si>
    <t>00001 - DSO 01.3.1a Kanalizační odbočení Stoky D-Od8c(2,06m), Od8d(1,47m), Od11(4,51m), Od15a(2,39m), Od15b(3,4m), Od27c(2,52m), Od27d(4,18m), Od33(2,94m), Od41b(3,0m)</t>
  </si>
  <si>
    <t>26,47-2,647</t>
  </si>
  <si>
    <t>26,47*0,1</t>
  </si>
  <si>
    <t>"DN150" 26,47*1*(2,2-0,45)*0,9</t>
  </si>
  <si>
    <t>"rozšíření pro šachty DN600" 1,5*1,5*(2,4-0,45)*5-1,5*1*(2,2-0,45)*5</t>
  </si>
  <si>
    <t>"DN150" 26,47*1*(2,2-0,1)*0,1</t>
  </si>
  <si>
    <t>56,061*0,5</t>
  </si>
  <si>
    <t>56,061*0,2</t>
  </si>
  <si>
    <t>26,47*2,2*2</t>
  </si>
  <si>
    <t>28,031+28,031</t>
  </si>
  <si>
    <t>56,061*0,1</t>
  </si>
  <si>
    <t>5,606*5</t>
  </si>
  <si>
    <t>56,061*5</t>
  </si>
  <si>
    <t>"DN150" 26,47*1</t>
  </si>
  <si>
    <t>"DN150" 26,47*1*0,45</t>
  </si>
  <si>
    <t>11,912*2 'Přepočtené koeficientem množství</t>
  </si>
  <si>
    <t>"DN150" 26,47*1*0,1</t>
  </si>
  <si>
    <t>1*1*0,1*4</t>
  </si>
  <si>
    <t>26,47*(0,45-0,05)</t>
  </si>
  <si>
    <t>51,691*2 'Přepočtené koeficientem množství</t>
  </si>
  <si>
    <t>"kamenivo"  23,823*0,4*2</t>
  </si>
  <si>
    <t>"asfalt" 23,823*0,05*2</t>
  </si>
  <si>
    <t>21,441*14 'Přepočtené koeficientem množství</t>
  </si>
  <si>
    <t>00007 - DSO 01.3.1g Kanalizační odbočení Stoky D3-Od106c(3,25m)</t>
  </si>
  <si>
    <t>3,25-0,325</t>
  </si>
  <si>
    <t>"DN150" 3,25*1*(2,2-0,45)*0,9</t>
  </si>
  <si>
    <t>"DN150" 3,25*1*(2,2-0,1)*0,1</t>
  </si>
  <si>
    <t>5,688*0,5</t>
  </si>
  <si>
    <t>5,688*0,2</t>
  </si>
  <si>
    <t>"DN150" 3,25*2,2*2</t>
  </si>
  <si>
    <t>5,688*5 'Přepočtené koeficientem množství</t>
  </si>
  <si>
    <t>0,5688*5 'Přepočtené koeficientem množství</t>
  </si>
  <si>
    <t>3,25*1</t>
  </si>
  <si>
    <t>5,119*1,8 'Přepočtené koeficientem množství</t>
  </si>
  <si>
    <t>"DN150" 3,25*1*0,45</t>
  </si>
  <si>
    <t>103,382+23,824</t>
  </si>
  <si>
    <t>"DN150" 3,25*1*0,1</t>
  </si>
  <si>
    <t>3,25*(0,45-0,05)</t>
  </si>
  <si>
    <t>5,1*2 'Přepočtené koeficientem množství</t>
  </si>
  <si>
    <t>1,463*2 'Přepočtené koeficientem množství</t>
  </si>
  <si>
    <t>10,2+2,926</t>
  </si>
  <si>
    <t>"kamenivo" 2,95*0,4*2</t>
  </si>
  <si>
    <t>"asfalt" 2,95*0,05*2</t>
  </si>
  <si>
    <t>2,655*14 'Přepočtené koeficientem množství</t>
  </si>
  <si>
    <t>Rekapitulace rozpočtů ke změnovému listu č. 3</t>
  </si>
  <si>
    <t>00001 - DSO 01.1.1a Kanalizační odbočení Stoky A-Oa2a(4,86m), Oa11a(2,51m), Oa25a(4,83m), Oa25b(5,14m)</t>
  </si>
  <si>
    <t>00004 - DSO 01.1.1d Kanalizační odbočení Stoky A3-Oa64a(2,01m)</t>
  </si>
  <si>
    <t>00006 - DSO 01.1.1f Kanalizační odbočení Stoky A4a-Oa46a(2,67m), Oa47a(2,51m)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</si>
</sst>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</numFmts>
  <fonts count="40" x14ac:knownFonts="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Arial CE"/>
      <family val="2"/>
    </font>
    <font>
      <u/>
      <sz val="15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mbria"/>
      <family val="1"/>
      <charset val="238"/>
    </font>
    <font>
      <sz val="14"/>
      <name val="Cambria"/>
      <family val="1"/>
      <charset val="238"/>
    </font>
    <font>
      <b/>
      <sz val="10"/>
      <name val="Cambria"/>
      <family val="1"/>
      <charset val="238"/>
    </font>
    <font>
      <b/>
      <sz val="12"/>
      <name val="Cambria"/>
      <family val="1"/>
      <charset val="238"/>
    </font>
    <font>
      <b/>
      <sz val="16"/>
      <name val="Cambr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1" fillId="0" borderId="0"/>
    <xf numFmtId="0" fontId="2" fillId="0" borderId="0"/>
    <xf numFmtId="0" fontId="34" fillId="0" borderId="0"/>
  </cellStyleXfs>
  <cellXfs count="20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4" fillId="0" borderId="12" xfId="0" applyNumberFormat="1" applyFont="1" applyBorder="1" applyAlignment="1"/>
    <xf numFmtId="166" fontId="24" fillId="0" borderId="13" xfId="0" applyNumberFormat="1" applyFont="1" applyBorder="1" applyAlignment="1"/>
    <xf numFmtId="4" fontId="25" fillId="0" borderId="0" xfId="0" applyNumberFormat="1" applyFont="1" applyAlignment="1">
      <alignment vertical="center"/>
    </xf>
    <xf numFmtId="0" fontId="9" fillId="0" borderId="3" xfId="0" applyFont="1" applyBorder="1" applyAlignme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 applyProtection="1">
      <protection locked="0"/>
    </xf>
    <xf numFmtId="4" fontId="7" fillId="0" borderId="0" xfId="0" applyNumberFormat="1" applyFont="1" applyAlignment="1"/>
    <xf numFmtId="0" fontId="9" fillId="0" borderId="14" xfId="0" applyFont="1" applyBorder="1" applyAlignment="1"/>
    <xf numFmtId="0" fontId="9" fillId="0" borderId="0" xfId="0" applyFont="1" applyBorder="1" applyAlignment="1"/>
    <xf numFmtId="166" fontId="9" fillId="0" borderId="0" xfId="0" applyNumberFormat="1" applyFont="1" applyBorder="1" applyAlignment="1"/>
    <xf numFmtId="166" fontId="9" fillId="0" borderId="15" xfId="0" applyNumberFormat="1" applyFont="1" applyBorder="1" applyAlignme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49" fontId="19" fillId="0" borderId="20" xfId="0" applyNumberFormat="1" applyFont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167" fontId="19" fillId="0" borderId="20" xfId="0" applyNumberFormat="1" applyFont="1" applyBorder="1" applyAlignment="1" applyProtection="1">
      <alignment vertical="center"/>
      <protection locked="0"/>
    </xf>
    <xf numFmtId="4" fontId="19" fillId="3" borderId="20" xfId="0" applyNumberFormat="1" applyFont="1" applyFill="1" applyBorder="1" applyAlignment="1" applyProtection="1">
      <alignment vertical="center"/>
      <protection locked="0"/>
    </xf>
    <xf numFmtId="4" fontId="19" fillId="0" borderId="20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29" fillId="0" borderId="20" xfId="0" applyFont="1" applyBorder="1" applyAlignment="1" applyProtection="1">
      <alignment horizontal="center" vertical="center"/>
      <protection locked="0"/>
    </xf>
    <xf numFmtId="49" fontId="29" fillId="0" borderId="20" xfId="0" applyNumberFormat="1" applyFont="1" applyBorder="1" applyAlignment="1" applyProtection="1">
      <alignment horizontal="left" vertical="center" wrapText="1"/>
      <protection locked="0"/>
    </xf>
    <xf numFmtId="0" fontId="29" fillId="0" borderId="20" xfId="0" applyFont="1" applyBorder="1" applyAlignment="1" applyProtection="1">
      <alignment horizontal="left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167" fontId="29" fillId="0" borderId="20" xfId="0" applyNumberFormat="1" applyFont="1" applyBorder="1" applyAlignment="1" applyProtection="1">
      <alignment vertical="center"/>
      <protection locked="0"/>
    </xf>
    <xf numFmtId="4" fontId="29" fillId="3" borderId="20" xfId="0" applyNumberFormat="1" applyFont="1" applyFill="1" applyBorder="1" applyAlignment="1" applyProtection="1">
      <alignment vertical="center"/>
      <protection locked="0"/>
    </xf>
    <xf numFmtId="4" fontId="29" fillId="0" borderId="20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3" borderId="14" xfId="0" applyFont="1" applyFill="1" applyBorder="1" applyAlignment="1" applyProtection="1">
      <alignment horizontal="left" vertical="center"/>
      <protection locked="0"/>
    </xf>
    <xf numFmtId="0" fontId="29" fillId="0" borderId="0" xfId="0" applyFont="1" applyBorder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2" fillId="0" borderId="0" xfId="2"/>
    <xf numFmtId="0" fontId="2" fillId="0" borderId="0" xfId="2" applyBorder="1"/>
    <xf numFmtId="0" fontId="33" fillId="0" borderId="0" xfId="2" applyFont="1" applyFill="1" applyBorder="1" applyAlignment="1"/>
    <xf numFmtId="0" fontId="2" fillId="0" borderId="0" xfId="2" applyBorder="1" applyAlignment="1">
      <alignment horizontal="left"/>
    </xf>
    <xf numFmtId="168" fontId="2" fillId="0" borderId="0" xfId="2" applyNumberFormat="1" applyBorder="1" applyAlignment="1">
      <alignment horizontal="left"/>
    </xf>
    <xf numFmtId="168" fontId="2" fillId="0" borderId="0" xfId="2" applyNumberFormat="1" applyBorder="1"/>
    <xf numFmtId="4" fontId="2" fillId="0" borderId="0" xfId="2" applyNumberFormat="1" applyBorder="1"/>
    <xf numFmtId="4" fontId="2" fillId="0" borderId="0" xfId="2" applyNumberFormat="1"/>
    <xf numFmtId="0" fontId="4" fillId="0" borderId="0" xfId="0" applyFont="1" applyAlignment="1">
      <alignment horizontal="left" vertical="top"/>
    </xf>
    <xf numFmtId="168" fontId="2" fillId="0" borderId="0" xfId="2" applyNumberForma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0" borderId="0" xfId="2" applyFont="1" applyFill="1"/>
    <xf numFmtId="0" fontId="37" fillId="0" borderId="29" xfId="3" applyFont="1" applyBorder="1" applyAlignment="1">
      <alignment horizontal="left"/>
    </xf>
    <xf numFmtId="0" fontId="37" fillId="0" borderId="30" xfId="3" applyFont="1" applyBorder="1" applyAlignment="1">
      <alignment horizontal="left"/>
    </xf>
    <xf numFmtId="0" fontId="37" fillId="0" borderId="31" xfId="3" applyFont="1" applyBorder="1" applyAlignment="1">
      <alignment horizontal="left"/>
    </xf>
    <xf numFmtId="0" fontId="37" fillId="5" borderId="29" xfId="3" applyFont="1" applyFill="1" applyBorder="1" applyAlignment="1">
      <alignment horizontal="center"/>
    </xf>
    <xf numFmtId="0" fontId="37" fillId="5" borderId="30" xfId="3" applyFont="1" applyFill="1" applyBorder="1" applyAlignment="1">
      <alignment horizontal="center"/>
    </xf>
    <xf numFmtId="0" fontId="37" fillId="5" borderId="31" xfId="3" applyFont="1" applyFill="1" applyBorder="1" applyAlignment="1">
      <alignment horizontal="center"/>
    </xf>
    <xf numFmtId="168" fontId="38" fillId="6" borderId="32" xfId="3" applyNumberFormat="1" applyFont="1" applyFill="1" applyBorder="1" applyAlignment="1">
      <alignment horizontal="center"/>
    </xf>
    <xf numFmtId="168" fontId="38" fillId="6" borderId="30" xfId="3" applyNumberFormat="1" applyFont="1" applyFill="1" applyBorder="1" applyAlignment="1">
      <alignment horizontal="center"/>
    </xf>
    <xf numFmtId="168" fontId="38" fillId="6" borderId="33" xfId="3" applyNumberFormat="1" applyFont="1" applyFill="1" applyBorder="1" applyAlignment="1">
      <alignment horizontal="center"/>
    </xf>
    <xf numFmtId="168" fontId="38" fillId="5" borderId="32" xfId="3" applyNumberFormat="1" applyFont="1" applyFill="1" applyBorder="1" applyAlignment="1">
      <alignment horizontal="center"/>
    </xf>
    <xf numFmtId="168" fontId="38" fillId="5" borderId="30" xfId="3" applyNumberFormat="1" applyFont="1" applyFill="1" applyBorder="1" applyAlignment="1">
      <alignment horizontal="center"/>
    </xf>
    <xf numFmtId="168" fontId="38" fillId="5" borderId="33" xfId="3" applyNumberFormat="1" applyFont="1" applyFill="1" applyBorder="1" applyAlignment="1">
      <alignment horizontal="center"/>
    </xf>
    <xf numFmtId="0" fontId="32" fillId="7" borderId="0" xfId="2" applyFont="1" applyFill="1" applyBorder="1" applyAlignment="1">
      <alignment horizontal="center"/>
    </xf>
    <xf numFmtId="0" fontId="35" fillId="5" borderId="21" xfId="3" applyFont="1" applyFill="1" applyBorder="1" applyAlignment="1">
      <alignment horizontal="center" vertical="center"/>
    </xf>
    <xf numFmtId="0" fontId="36" fillId="5" borderId="22" xfId="3" applyFont="1" applyFill="1" applyBorder="1" applyAlignment="1">
      <alignment horizontal="center" vertical="center"/>
    </xf>
    <xf numFmtId="0" fontId="36" fillId="5" borderId="23" xfId="3" applyFont="1" applyFill="1" applyBorder="1" applyAlignment="1">
      <alignment horizontal="center" vertical="center"/>
    </xf>
    <xf numFmtId="0" fontId="35" fillId="7" borderId="24" xfId="3" applyFont="1" applyFill="1" applyBorder="1" applyAlignment="1">
      <alignment horizontal="left"/>
    </xf>
    <xf numFmtId="0" fontId="35" fillId="7" borderId="25" xfId="3" applyFont="1" applyFill="1" applyBorder="1" applyAlignment="1">
      <alignment horizontal="left"/>
    </xf>
    <xf numFmtId="0" fontId="35" fillId="7" borderId="26" xfId="3" applyFont="1" applyFill="1" applyBorder="1" applyAlignment="1">
      <alignment horizontal="left"/>
    </xf>
    <xf numFmtId="168" fontId="39" fillId="7" borderId="27" xfId="3" applyNumberFormat="1" applyFont="1" applyFill="1" applyBorder="1" applyAlignment="1">
      <alignment horizontal="center"/>
    </xf>
    <xf numFmtId="168" fontId="39" fillId="7" borderId="28" xfId="3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</cellXfs>
  <cellStyles count="4">
    <cellStyle name="Normální" xfId="0" builtinId="0" customBuiltin="1"/>
    <cellStyle name="Normální 2" xfId="1"/>
    <cellStyle name="Normální 3" xfId="3"/>
    <cellStyle name="Normální 4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cuments\Stavby%20-%20V%20REALIZACI\Stavba%20-%20Vy&#353;kov,%20Lear\SO%2005.1_zpev.plochy_V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akazky_2006\306012_Karvina_rozsireni_kanalizace__tendr\306012_c_dokumentace\rozpocty\00_Podklad\Kolektor_Alfa\SO_11_Prelozka_telekom_site_c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akazky_2006\306012_Karvina_rozsireni_kanalizace__tendr\306012_c_dokumentace\rozpocty\00_Podklad\Kolektor_Alfa\PR_SO_01_Stoka_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otkowski\OneDrive%20-%20HOCHTIEF%20CZ%20a.s\Dokumenty\Kanalizace%20Pet&#345;vald\Rozpo&#269;et\Kanalizace%20Podles&#237;%20-%20I.Etapa_Soupis_s_OST_a_V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SO 05.1</v>
          </cell>
          <cell r="C5" t="str">
            <v>Komunikace</v>
          </cell>
        </row>
        <row r="7">
          <cell r="A7" t="str">
            <v>SO 05.1</v>
          </cell>
          <cell r="C7" t="str">
            <v>LEAR - Rozšíření závodu ve Vyškově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  <sheetName val="Sestava"/>
    </sheetNames>
    <sheetDataSet>
      <sheetData sheetId="0" refreshError="1"/>
      <sheetData sheetId="1" refreshError="1">
        <row r="8">
          <cell r="E8">
            <v>0</v>
          </cell>
          <cell r="F8">
            <v>0</v>
          </cell>
          <cell r="G8">
            <v>106414.6</v>
          </cell>
          <cell r="H8">
            <v>225167.63</v>
          </cell>
          <cell r="I8">
            <v>0</v>
          </cell>
        </row>
        <row r="21">
          <cell r="H21">
            <v>24882.56106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SO_01_Stoka_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0001 - DSO 01.1a Stoka A"/>
      <sheetName val="00002 - DSO 01.1b Stoka A1"/>
      <sheetName val="00003 - DSO 01.1c Stoka A2a"/>
      <sheetName val="00004 - DSO 01.1d Stoka A3"/>
      <sheetName val="00005 - DSO 01.1e Stoka A4"/>
      <sheetName val="00006 - DSO 01.1f Stoka A4a"/>
      <sheetName val="00007 - DSO 01.1g Stoka A4b"/>
      <sheetName val="00001 - DSO 01.1.1a Kanal..."/>
      <sheetName val="00002 - DSO 01.1.1b Kanal..."/>
      <sheetName val="00003 - DSO 01.1.1c Kanal..."/>
      <sheetName val="00004 - DSO 01.1.1d Kanal..."/>
      <sheetName val="00005 - DSO 01.1.1e Kanal..."/>
      <sheetName val="00006 - DSO 01.1.1f Kanal..."/>
      <sheetName val="00007 - DSO 01.1.1g Kanal..."/>
      <sheetName val="00001 - DSO 01.3a Stoka D"/>
      <sheetName val="00002 - DSO 01.3b Stoka DA"/>
      <sheetName val="00007 - DSO 01.3g Stoka D3"/>
      <sheetName val="00001 - DSO 01.3.1a Kanal..."/>
      <sheetName val="00002 - DSO 01.3.1b Kanal..."/>
      <sheetName val="00007 - DSO 01.3.1g Kanal..."/>
      <sheetName val="0001 - DSO 02.1 Čerpací s..."/>
      <sheetName val="0002 - DSO 02.2 Čerpací s..."/>
      <sheetName val="0003 - DSO 02.3 Čerpací s..."/>
      <sheetName val="0001 - DSO 05.1 Čerpací s..."/>
      <sheetName val="0002 - DSO 05.2 Čerpací s..."/>
      <sheetName val="0003 - DSO 05.3 Čerpací s..."/>
      <sheetName val="0001 - DSO 07.1 Čerpací s..."/>
      <sheetName val="0002 - DSO 07.2 Čerpací s..."/>
      <sheetName val="0003 - DSO 07.3 Čerpací s..."/>
      <sheetName val="0001 - DSO 09.1 Čerpací s..."/>
      <sheetName val="0002 - DSO 09.2 Čerpací s..."/>
      <sheetName val="0003 - DSO 09.3 Čerpací s..."/>
      <sheetName val="0001 - DSO 11.1 Výtlak V1"/>
      <sheetName val="0004 - DSO 11.4 Výtlak V5"/>
      <sheetName val="0006 - DSO 11.6 Výtlak V8"/>
      <sheetName val="0008 - DSO 11.8 Výtlak V11"/>
      <sheetName val="0001 - DSO 12.1 Čerpací s..."/>
      <sheetName val="0002 - DSO 12.3 Čerpací s..."/>
      <sheetName val="0001 - PS Strojně-technol..."/>
      <sheetName val="0001 - PS 01.1 ČS1 - elek..."/>
      <sheetName val="0001 - PS 04.1 ČS5 - elek..."/>
      <sheetName val="0001 - PS 06.1 ČS8 - elek..."/>
      <sheetName val="0001 - PS 08.1 ČS11 - ele..."/>
      <sheetName val="0001 - PS 10 Domovní čerp..."/>
      <sheetName val="024 - PS11 Stávající čerp..."/>
      <sheetName val="025 - Ostatní a vedlejší ..."/>
    </sheetNames>
    <sheetDataSet>
      <sheetData sheetId="0">
        <row r="6">
          <cell r="K6" t="str">
            <v>Kanalizace Podlesí - I.Etapa</v>
          </cell>
        </row>
        <row r="8">
          <cell r="AN8" t="str">
            <v>18. 11. 2020</v>
          </cell>
        </row>
        <row r="13">
          <cell r="AN13" t="str">
            <v>Vyplň údaj</v>
          </cell>
        </row>
        <row r="14">
          <cell r="E14" t="str">
            <v>Společnost Podlesí se sídlem Žitenická 871/1, 190 00 Praha 9</v>
          </cell>
          <cell r="AN14" t="str">
            <v>Vyplň údaj</v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indowProtection="1" tabSelected="1" workbookViewId="0">
      <selection activeCell="X7" sqref="X7"/>
    </sheetView>
  </sheetViews>
  <sheetFormatPr defaultRowHeight="15" x14ac:dyDescent="0.25"/>
  <cols>
    <col min="1" max="2" width="9.33203125" style="158"/>
    <col min="3" max="3" width="20.6640625" style="158" customWidth="1"/>
    <col min="4" max="4" width="15" style="158" customWidth="1"/>
    <col min="5" max="10" width="9.33203125" style="158"/>
    <col min="11" max="11" width="29.83203125" style="158" customWidth="1"/>
    <col min="12" max="16384" width="9.33203125" style="158"/>
  </cols>
  <sheetData>
    <row r="1" spans="1:11" ht="19.5" x14ac:dyDescent="0.3">
      <c r="A1" s="186" t="s">
        <v>558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1" ht="14.25" customHeight="1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59"/>
    </row>
    <row r="3" spans="1:11" ht="21.75" customHeight="1" thickBot="1" x14ac:dyDescent="0.35">
      <c r="A3" s="160"/>
      <c r="B3" s="160"/>
      <c r="C3" s="160"/>
      <c r="D3" s="160"/>
      <c r="E3" s="160"/>
      <c r="F3" s="159"/>
      <c r="G3" s="159"/>
      <c r="H3" s="159"/>
      <c r="I3" s="159"/>
      <c r="J3" s="159"/>
    </row>
    <row r="4" spans="1:11" ht="21.75" customHeight="1" x14ac:dyDescent="0.25">
      <c r="A4" s="187" t="s">
        <v>425</v>
      </c>
      <c r="B4" s="188"/>
      <c r="C4" s="188"/>
      <c r="D4" s="188"/>
      <c r="E4" s="188"/>
      <c r="F4" s="188"/>
      <c r="G4" s="188"/>
      <c r="H4" s="188"/>
      <c r="I4" s="188"/>
      <c r="J4" s="189"/>
    </row>
    <row r="5" spans="1:11" ht="15.75" x14ac:dyDescent="0.25">
      <c r="A5" s="174" t="s">
        <v>419</v>
      </c>
      <c r="B5" s="175"/>
      <c r="C5" s="175"/>
      <c r="D5" s="175"/>
      <c r="E5" s="176"/>
      <c r="F5" s="180">
        <f>'Odbočení stoka A'!J132</f>
        <v>182821.36</v>
      </c>
      <c r="G5" s="181"/>
      <c r="H5" s="181"/>
      <c r="I5" s="181"/>
      <c r="J5" s="182"/>
      <c r="K5" s="173"/>
    </row>
    <row r="6" spans="1:11" ht="15.75" x14ac:dyDescent="0.25">
      <c r="A6" s="174" t="s">
        <v>420</v>
      </c>
      <c r="B6" s="175"/>
      <c r="C6" s="175"/>
      <c r="D6" s="175"/>
      <c r="E6" s="176"/>
      <c r="F6" s="180">
        <f>'Odbočení stoka A3'!J131</f>
        <v>26181.030000000002</v>
      </c>
      <c r="G6" s="181"/>
      <c r="H6" s="181"/>
      <c r="I6" s="181"/>
      <c r="J6" s="182"/>
      <c r="K6" s="173"/>
    </row>
    <row r="7" spans="1:11" ht="15.75" x14ac:dyDescent="0.25">
      <c r="A7" s="174" t="s">
        <v>421</v>
      </c>
      <c r="B7" s="175"/>
      <c r="C7" s="175"/>
      <c r="D7" s="175"/>
      <c r="E7" s="176"/>
      <c r="F7" s="180">
        <f>'Odbočení stoka A4'!J131</f>
        <v>48082.150000000009</v>
      </c>
      <c r="G7" s="181"/>
      <c r="H7" s="181"/>
      <c r="I7" s="181"/>
      <c r="J7" s="182"/>
      <c r="K7" s="173"/>
    </row>
    <row r="8" spans="1:11" ht="15.75" x14ac:dyDescent="0.25">
      <c r="A8" s="174" t="s">
        <v>422</v>
      </c>
      <c r="B8" s="175"/>
      <c r="C8" s="175"/>
      <c r="D8" s="175"/>
      <c r="E8" s="176"/>
      <c r="F8" s="180">
        <f>'Odbočení stoka A4a'!J131</f>
        <v>60223.930000000008</v>
      </c>
      <c r="G8" s="181"/>
      <c r="H8" s="181"/>
      <c r="I8" s="181"/>
      <c r="J8" s="182"/>
      <c r="K8" s="173"/>
    </row>
    <row r="9" spans="1:11" ht="15.75" x14ac:dyDescent="0.25">
      <c r="A9" s="174" t="s">
        <v>423</v>
      </c>
      <c r="B9" s="175"/>
      <c r="C9" s="175"/>
      <c r="D9" s="175"/>
      <c r="E9" s="176"/>
      <c r="F9" s="180">
        <f>'Odbočení stoka D'!J132</f>
        <v>366725.14</v>
      </c>
      <c r="G9" s="181"/>
      <c r="H9" s="181"/>
      <c r="I9" s="181"/>
      <c r="J9" s="182"/>
      <c r="K9" s="173"/>
    </row>
    <row r="10" spans="1:11" ht="15.75" x14ac:dyDescent="0.25">
      <c r="A10" s="174" t="s">
        <v>424</v>
      </c>
      <c r="B10" s="175"/>
      <c r="C10" s="175"/>
      <c r="D10" s="175"/>
      <c r="E10" s="176"/>
      <c r="F10" s="180">
        <f>'Odbočení stoka D3'!J132</f>
        <v>43878.479999999996</v>
      </c>
      <c r="G10" s="181"/>
      <c r="H10" s="181"/>
      <c r="I10" s="181"/>
      <c r="J10" s="182"/>
    </row>
    <row r="11" spans="1:11" ht="9" customHeight="1" x14ac:dyDescent="0.25">
      <c r="A11" s="177"/>
      <c r="B11" s="178"/>
      <c r="C11" s="178"/>
      <c r="D11" s="178"/>
      <c r="E11" s="179"/>
      <c r="F11" s="183"/>
      <c r="G11" s="184"/>
      <c r="H11" s="184"/>
      <c r="I11" s="184"/>
      <c r="J11" s="185"/>
    </row>
    <row r="12" spans="1:11" ht="21" thickBot="1" x14ac:dyDescent="0.35">
      <c r="A12" s="190" t="s">
        <v>418</v>
      </c>
      <c r="B12" s="191"/>
      <c r="C12" s="191"/>
      <c r="D12" s="191"/>
      <c r="E12" s="192"/>
      <c r="F12" s="193">
        <f>SUM(F5:J11)</f>
        <v>727912.09</v>
      </c>
      <c r="G12" s="193"/>
      <c r="H12" s="193"/>
      <c r="I12" s="193"/>
      <c r="J12" s="194"/>
    </row>
    <row r="13" spans="1:11" x14ac:dyDescent="0.25">
      <c r="A13" s="161"/>
      <c r="B13" s="161"/>
      <c r="C13" s="161"/>
      <c r="D13" s="161"/>
      <c r="E13" s="161"/>
      <c r="F13" s="159"/>
      <c r="G13" s="159"/>
      <c r="H13" s="159"/>
      <c r="I13" s="159"/>
      <c r="J13" s="159"/>
      <c r="K13" s="167"/>
    </row>
    <row r="14" spans="1:11" x14ac:dyDescent="0.25">
      <c r="A14" s="161"/>
      <c r="B14" s="161"/>
      <c r="C14" s="162"/>
      <c r="D14" s="159"/>
      <c r="E14" s="159"/>
      <c r="F14" s="159"/>
      <c r="G14" s="159"/>
      <c r="H14" s="159"/>
      <c r="I14" s="159"/>
      <c r="J14" s="159"/>
    </row>
    <row r="15" spans="1:11" x14ac:dyDescent="0.25">
      <c r="A15" s="159"/>
      <c r="B15" s="159"/>
      <c r="C15" s="163"/>
      <c r="D15" s="159"/>
      <c r="E15" s="159"/>
      <c r="F15" s="159"/>
      <c r="G15" s="159"/>
      <c r="H15" s="159"/>
      <c r="I15" s="159"/>
      <c r="J15" s="159"/>
    </row>
    <row r="16" spans="1:11" x14ac:dyDescent="0.25">
      <c r="A16" s="159"/>
      <c r="B16" s="159"/>
      <c r="C16" s="159"/>
      <c r="D16" s="159"/>
      <c r="E16" s="159"/>
      <c r="F16" s="159"/>
      <c r="G16" s="159"/>
      <c r="H16" s="159"/>
      <c r="I16" s="159"/>
      <c r="J16" s="159"/>
    </row>
    <row r="17" spans="1:10" x14ac:dyDescent="0.25">
      <c r="A17" s="159"/>
      <c r="B17" s="159"/>
      <c r="C17" s="164"/>
      <c r="D17" s="164"/>
      <c r="E17" s="159"/>
      <c r="F17" s="159"/>
      <c r="G17" s="159"/>
      <c r="H17" s="159"/>
      <c r="I17" s="159"/>
      <c r="J17" s="159"/>
    </row>
    <row r="18" spans="1:10" x14ac:dyDescent="0.25">
      <c r="A18" s="159"/>
      <c r="B18" s="159"/>
      <c r="C18" s="164"/>
      <c r="D18" s="164"/>
      <c r="E18" s="159"/>
      <c r="F18" s="159"/>
      <c r="G18" s="159"/>
      <c r="H18" s="159"/>
      <c r="I18" s="159"/>
      <c r="J18" s="159"/>
    </row>
    <row r="19" spans="1:10" x14ac:dyDescent="0.25">
      <c r="A19" s="159"/>
      <c r="B19" s="159"/>
      <c r="C19" s="164"/>
      <c r="D19" s="164"/>
      <c r="E19" s="159"/>
      <c r="F19" s="159"/>
      <c r="G19" s="159"/>
      <c r="H19" s="159"/>
      <c r="I19" s="159"/>
      <c r="J19" s="159"/>
    </row>
    <row r="20" spans="1:10" x14ac:dyDescent="0.25">
      <c r="A20" s="159"/>
      <c r="B20" s="159"/>
      <c r="C20" s="164"/>
      <c r="D20" s="164"/>
      <c r="E20" s="159"/>
      <c r="F20" s="159"/>
      <c r="G20" s="159"/>
      <c r="H20" s="159"/>
      <c r="I20" s="159"/>
      <c r="J20" s="159"/>
    </row>
    <row r="21" spans="1:10" x14ac:dyDescent="0.25">
      <c r="C21" s="165"/>
    </row>
    <row r="22" spans="1:10" x14ac:dyDescent="0.25">
      <c r="C22" s="165"/>
    </row>
    <row r="23" spans="1:10" x14ac:dyDescent="0.25">
      <c r="C23" s="165"/>
    </row>
    <row r="24" spans="1:10" x14ac:dyDescent="0.25">
      <c r="C24" s="165"/>
    </row>
    <row r="25" spans="1:10" x14ac:dyDescent="0.25">
      <c r="C25" s="165"/>
    </row>
    <row r="26" spans="1:10" x14ac:dyDescent="0.25">
      <c r="C26" s="165"/>
    </row>
    <row r="27" spans="1:10" x14ac:dyDescent="0.25">
      <c r="C27" s="165"/>
    </row>
    <row r="28" spans="1:10" x14ac:dyDescent="0.25">
      <c r="C28" s="165"/>
    </row>
    <row r="29" spans="1:10" x14ac:dyDescent="0.25">
      <c r="C29" s="165"/>
    </row>
  </sheetData>
  <mergeCells count="18">
    <mergeCell ref="A12:E12"/>
    <mergeCell ref="F12:J12"/>
    <mergeCell ref="A5:E5"/>
    <mergeCell ref="A6:E6"/>
    <mergeCell ref="A7:E7"/>
    <mergeCell ref="F5:J5"/>
    <mergeCell ref="F6:J6"/>
    <mergeCell ref="F7:J7"/>
    <mergeCell ref="A8:E8"/>
    <mergeCell ref="F8:J8"/>
    <mergeCell ref="A9:E9"/>
    <mergeCell ref="F9:J9"/>
    <mergeCell ref="A10:E10"/>
    <mergeCell ref="A11:E11"/>
    <mergeCell ref="F10:J10"/>
    <mergeCell ref="F11:J11"/>
    <mergeCell ref="A1:J1"/>
    <mergeCell ref="A4:J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0"/>
  <sheetViews>
    <sheetView windowProtection="1" showGridLines="0" topLeftCell="A72" workbookViewId="0">
      <selection activeCell="E14" sqref="E14"/>
    </sheetView>
  </sheetViews>
  <sheetFormatPr defaultRowHeight="11.25" x14ac:dyDescent="0.2"/>
  <cols>
    <col min="1" max="1" width="8.33203125" style="146" customWidth="1"/>
    <col min="2" max="2" width="1.1640625" style="146" customWidth="1"/>
    <col min="3" max="3" width="4.1640625" style="146" customWidth="1"/>
    <col min="4" max="4" width="4.33203125" style="146" customWidth="1"/>
    <col min="5" max="5" width="17.1640625" style="146" customWidth="1"/>
    <col min="6" max="6" width="50.83203125" style="146" customWidth="1"/>
    <col min="7" max="7" width="7.5" style="146" customWidth="1"/>
    <col min="8" max="8" width="11.5" style="146" customWidth="1"/>
    <col min="9" max="11" width="20.1640625" style="146" customWidth="1"/>
    <col min="12" max="12" width="9.33203125" style="146" customWidth="1"/>
    <col min="13" max="13" width="10.83203125" style="146" hidden="1" customWidth="1"/>
    <col min="14" max="14" width="9.33203125" style="146"/>
    <col min="15" max="20" width="14.1640625" style="146" hidden="1" customWidth="1"/>
    <col min="21" max="21" width="16.33203125" style="146" hidden="1" customWidth="1"/>
    <col min="22" max="22" width="12.33203125" style="146" customWidth="1"/>
    <col min="23" max="23" width="16.33203125" style="146" customWidth="1"/>
    <col min="24" max="24" width="12.33203125" style="146" customWidth="1"/>
    <col min="25" max="25" width="15" style="146" customWidth="1"/>
    <col min="26" max="26" width="11" style="146" customWidth="1"/>
    <col min="27" max="27" width="15" style="146" customWidth="1"/>
    <col min="28" max="28" width="16.33203125" style="146" customWidth="1"/>
    <col min="29" max="29" width="11" style="146" customWidth="1"/>
    <col min="30" max="30" width="15" style="146" customWidth="1"/>
    <col min="31" max="31" width="16.33203125" style="146" customWidth="1"/>
    <col min="32" max="16384" width="9.33203125" style="146"/>
  </cols>
  <sheetData>
    <row r="2" spans="1:46" ht="36.950000000000003" customHeight="1" x14ac:dyDescent="0.2">
      <c r="L2" s="204" t="s">
        <v>2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0" t="s">
        <v>195</v>
      </c>
    </row>
    <row r="3" spans="1:46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47</v>
      </c>
    </row>
    <row r="4" spans="1:46" ht="24.95" customHeight="1" x14ac:dyDescent="0.2">
      <c r="B4" s="13"/>
      <c r="D4" s="14" t="s">
        <v>49</v>
      </c>
      <c r="L4" s="13"/>
      <c r="M4" s="36" t="s">
        <v>5</v>
      </c>
      <c r="AT4" s="10" t="s">
        <v>1</v>
      </c>
    </row>
    <row r="5" spans="1:46" ht="6.95" customHeight="1" x14ac:dyDescent="0.2">
      <c r="B5" s="13"/>
      <c r="L5" s="13"/>
    </row>
    <row r="6" spans="1:46" ht="12" customHeight="1" x14ac:dyDescent="0.2">
      <c r="B6" s="13"/>
      <c r="D6" s="154" t="s">
        <v>6</v>
      </c>
      <c r="L6" s="13"/>
    </row>
    <row r="7" spans="1:46" ht="16.5" customHeight="1" x14ac:dyDescent="0.2">
      <c r="B7" s="13"/>
      <c r="E7" s="195" t="str">
        <f>'[4]Rekapitulace stavby'!K6</f>
        <v>Kanalizace Podlesí - I.Etapa</v>
      </c>
      <c r="F7" s="201"/>
      <c r="G7" s="201"/>
      <c r="H7" s="201"/>
      <c r="L7" s="13"/>
    </row>
    <row r="8" spans="1:46" ht="12.75" x14ac:dyDescent="0.2">
      <c r="B8" s="13"/>
      <c r="D8" s="154" t="s">
        <v>50</v>
      </c>
      <c r="L8" s="13"/>
    </row>
    <row r="9" spans="1:46" ht="16.5" customHeight="1" x14ac:dyDescent="0.2">
      <c r="B9" s="13"/>
      <c r="E9" s="195" t="s">
        <v>51</v>
      </c>
      <c r="F9" s="196"/>
      <c r="G9" s="196"/>
      <c r="H9" s="196"/>
      <c r="L9" s="13"/>
    </row>
    <row r="10" spans="1:46" ht="12" customHeight="1" x14ac:dyDescent="0.2">
      <c r="B10" s="13"/>
      <c r="D10" s="154" t="s">
        <v>52</v>
      </c>
      <c r="L10" s="13"/>
    </row>
    <row r="11" spans="1:46" s="1" customFormat="1" ht="16.5" customHeight="1" x14ac:dyDescent="0.2">
      <c r="A11" s="156"/>
      <c r="B11" s="16"/>
      <c r="C11" s="156"/>
      <c r="D11" s="156"/>
      <c r="E11" s="197" t="s">
        <v>201</v>
      </c>
      <c r="F11" s="198"/>
      <c r="G11" s="198"/>
      <c r="H11" s="198"/>
      <c r="I11" s="156"/>
      <c r="J11" s="156"/>
      <c r="K11" s="156"/>
      <c r="L11" s="17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</row>
    <row r="12" spans="1:46" s="1" customFormat="1" ht="12" customHeight="1" x14ac:dyDescent="0.2">
      <c r="A12" s="156"/>
      <c r="B12" s="16"/>
      <c r="C12" s="156"/>
      <c r="D12" s="154" t="s">
        <v>202</v>
      </c>
      <c r="E12" s="156"/>
      <c r="F12" s="156"/>
      <c r="G12" s="156"/>
      <c r="H12" s="156"/>
      <c r="I12" s="156"/>
      <c r="J12" s="156"/>
      <c r="K12" s="156"/>
      <c r="L12" s="17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</row>
    <row r="13" spans="1:46" s="1" customFormat="1" ht="37.5" customHeight="1" x14ac:dyDescent="0.2">
      <c r="A13" s="156"/>
      <c r="B13" s="16"/>
      <c r="C13" s="156"/>
      <c r="D13" s="156"/>
      <c r="E13" s="199" t="s">
        <v>559</v>
      </c>
      <c r="F13" s="198"/>
      <c r="G13" s="198"/>
      <c r="H13" s="198"/>
      <c r="I13" s="156"/>
      <c r="J13" s="156"/>
      <c r="K13" s="156"/>
      <c r="L13" s="17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</row>
    <row r="14" spans="1:46" s="1" customFormat="1" x14ac:dyDescent="0.2">
      <c r="A14" s="156"/>
      <c r="B14" s="16"/>
      <c r="C14" s="156"/>
      <c r="D14" s="156"/>
      <c r="E14" s="156"/>
      <c r="F14" s="156"/>
      <c r="G14" s="156"/>
      <c r="H14" s="156"/>
      <c r="I14" s="156"/>
      <c r="J14" s="156"/>
      <c r="K14" s="156"/>
      <c r="L14" s="17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</row>
    <row r="15" spans="1:46" s="1" customFormat="1" ht="12" customHeight="1" x14ac:dyDescent="0.2">
      <c r="A15" s="156"/>
      <c r="B15" s="16"/>
      <c r="C15" s="156"/>
      <c r="D15" s="154" t="s">
        <v>7</v>
      </c>
      <c r="E15" s="156"/>
      <c r="F15" s="147" t="s">
        <v>0</v>
      </c>
      <c r="G15" s="156"/>
      <c r="H15" s="156"/>
      <c r="I15" s="154" t="s">
        <v>8</v>
      </c>
      <c r="J15" s="147" t="s">
        <v>203</v>
      </c>
      <c r="K15" s="156"/>
      <c r="L15" s="17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</row>
    <row r="16" spans="1:46" s="1" customFormat="1" ht="12" customHeight="1" x14ac:dyDescent="0.2">
      <c r="A16" s="156"/>
      <c r="B16" s="16"/>
      <c r="C16" s="156"/>
      <c r="D16" s="154" t="s">
        <v>9</v>
      </c>
      <c r="E16" s="156"/>
      <c r="F16" s="147" t="s">
        <v>10</v>
      </c>
      <c r="G16" s="156"/>
      <c r="H16" s="156"/>
      <c r="I16" s="154" t="s">
        <v>11</v>
      </c>
      <c r="J16" s="153" t="str">
        <f>'[4]Rekapitulace stavby'!AN8</f>
        <v>18. 11. 2020</v>
      </c>
      <c r="K16" s="156"/>
      <c r="L16" s="17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</row>
    <row r="17" spans="1:31" s="1" customFormat="1" ht="21.75" customHeight="1" x14ac:dyDescent="0.2">
      <c r="A17" s="156"/>
      <c r="B17" s="16"/>
      <c r="C17" s="156"/>
      <c r="D17" s="15" t="s">
        <v>204</v>
      </c>
      <c r="E17" s="156"/>
      <c r="F17" s="166" t="s">
        <v>205</v>
      </c>
      <c r="G17" s="156"/>
      <c r="H17" s="156"/>
      <c r="I17" s="156"/>
      <c r="J17" s="156"/>
      <c r="K17" s="156"/>
      <c r="L17" s="17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</row>
    <row r="18" spans="1:31" s="1" customFormat="1" ht="12" customHeight="1" x14ac:dyDescent="0.2">
      <c r="A18" s="156"/>
      <c r="B18" s="16"/>
      <c r="C18" s="156"/>
      <c r="D18" s="154" t="s">
        <v>12</v>
      </c>
      <c r="E18" s="156"/>
      <c r="F18" s="156"/>
      <c r="G18" s="156"/>
      <c r="H18" s="156"/>
      <c r="I18" s="154" t="s">
        <v>13</v>
      </c>
      <c r="J18" s="147" t="s">
        <v>0</v>
      </c>
      <c r="K18" s="156"/>
      <c r="L18" s="17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</row>
    <row r="19" spans="1:31" s="1" customFormat="1" ht="18" customHeight="1" x14ac:dyDescent="0.2">
      <c r="A19" s="156"/>
      <c r="B19" s="16"/>
      <c r="C19" s="156"/>
      <c r="D19" s="156"/>
      <c r="E19" s="147" t="s">
        <v>14</v>
      </c>
      <c r="F19" s="156"/>
      <c r="G19" s="156"/>
      <c r="H19" s="156"/>
      <c r="I19" s="154" t="s">
        <v>15</v>
      </c>
      <c r="J19" s="147" t="s">
        <v>0</v>
      </c>
      <c r="K19" s="156"/>
      <c r="L19" s="17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</row>
    <row r="20" spans="1:31" s="1" customFormat="1" ht="6.95" customHeight="1" x14ac:dyDescent="0.2">
      <c r="A20" s="156"/>
      <c r="B20" s="16"/>
      <c r="C20" s="156"/>
      <c r="D20" s="156"/>
      <c r="E20" s="156"/>
      <c r="F20" s="156"/>
      <c r="G20" s="156"/>
      <c r="H20" s="156"/>
      <c r="I20" s="156"/>
      <c r="J20" s="156"/>
      <c r="K20" s="156"/>
      <c r="L20" s="17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</row>
    <row r="21" spans="1:31" s="1" customFormat="1" ht="12" customHeight="1" x14ac:dyDescent="0.2">
      <c r="A21" s="156"/>
      <c r="B21" s="16"/>
      <c r="C21" s="156"/>
      <c r="D21" s="154" t="s">
        <v>16</v>
      </c>
      <c r="E21" s="156"/>
      <c r="F21" s="156"/>
      <c r="G21" s="156"/>
      <c r="H21" s="156"/>
      <c r="I21" s="154" t="s">
        <v>13</v>
      </c>
      <c r="J21" s="157" t="str">
        <f>'[4]Rekapitulace stavby'!AN13</f>
        <v>Vyplň údaj</v>
      </c>
      <c r="K21" s="156"/>
      <c r="L21" s="17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</row>
    <row r="22" spans="1:31" s="1" customFormat="1" ht="18" customHeight="1" x14ac:dyDescent="0.2">
      <c r="A22" s="156"/>
      <c r="B22" s="16"/>
      <c r="C22" s="156"/>
      <c r="D22" s="156"/>
      <c r="E22" s="202" t="str">
        <f>'[4]Rekapitulace stavby'!E14</f>
        <v>Společnost Podlesí se sídlem Žitenická 871/1, 190 00 Praha 9</v>
      </c>
      <c r="F22" s="203"/>
      <c r="G22" s="203"/>
      <c r="H22" s="203"/>
      <c r="I22" s="154" t="s">
        <v>15</v>
      </c>
      <c r="J22" s="157" t="str">
        <f>'[4]Rekapitulace stavby'!AN14</f>
        <v>Vyplň údaj</v>
      </c>
      <c r="K22" s="156"/>
      <c r="L22" s="17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</row>
    <row r="23" spans="1:31" s="1" customFormat="1" ht="6.95" customHeight="1" x14ac:dyDescent="0.2">
      <c r="A23" s="156"/>
      <c r="B23" s="16"/>
      <c r="C23" s="156"/>
      <c r="D23" s="156"/>
      <c r="E23" s="156"/>
      <c r="F23" s="156"/>
      <c r="G23" s="156"/>
      <c r="H23" s="156"/>
      <c r="I23" s="156"/>
      <c r="J23" s="156"/>
      <c r="K23" s="156"/>
      <c r="L23" s="17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</row>
    <row r="24" spans="1:31" s="1" customFormat="1" ht="12" customHeight="1" x14ac:dyDescent="0.2">
      <c r="A24" s="156"/>
      <c r="B24" s="16"/>
      <c r="C24" s="156"/>
      <c r="D24" s="154" t="s">
        <v>17</v>
      </c>
      <c r="E24" s="156"/>
      <c r="F24" s="156"/>
      <c r="G24" s="156"/>
      <c r="H24" s="156"/>
      <c r="I24" s="154" t="s">
        <v>13</v>
      </c>
      <c r="J24" s="147" t="s">
        <v>0</v>
      </c>
      <c r="K24" s="156"/>
      <c r="L24" s="17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</row>
    <row r="25" spans="1:31" s="1" customFormat="1" ht="18" customHeight="1" x14ac:dyDescent="0.2">
      <c r="A25" s="156"/>
      <c r="B25" s="16"/>
      <c r="C25" s="156"/>
      <c r="D25" s="156"/>
      <c r="E25" s="147" t="s">
        <v>18</v>
      </c>
      <c r="F25" s="156"/>
      <c r="G25" s="156"/>
      <c r="H25" s="156"/>
      <c r="I25" s="154" t="s">
        <v>15</v>
      </c>
      <c r="J25" s="147" t="s">
        <v>0</v>
      </c>
      <c r="K25" s="156"/>
      <c r="L25" s="17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pans="1:31" s="1" customFormat="1" ht="6.95" customHeight="1" x14ac:dyDescent="0.2">
      <c r="A26" s="156"/>
      <c r="B26" s="16"/>
      <c r="C26" s="156"/>
      <c r="D26" s="156"/>
      <c r="E26" s="156"/>
      <c r="F26" s="156"/>
      <c r="G26" s="156"/>
      <c r="H26" s="156"/>
      <c r="I26" s="156"/>
      <c r="J26" s="156"/>
      <c r="K26" s="156"/>
      <c r="L26" s="17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</row>
    <row r="27" spans="1:31" s="1" customFormat="1" ht="12" customHeight="1" x14ac:dyDescent="0.2">
      <c r="A27" s="156"/>
      <c r="B27" s="16"/>
      <c r="C27" s="156"/>
      <c r="D27" s="154" t="s">
        <v>20</v>
      </c>
      <c r="E27" s="156"/>
      <c r="F27" s="156"/>
      <c r="G27" s="156"/>
      <c r="H27" s="156"/>
      <c r="I27" s="154" t="s">
        <v>13</v>
      </c>
      <c r="J27" s="147" t="str">
        <f>IF('[4]Rekapitulace stavby'!AN19="","",'[4]Rekapitulace stavby'!AN19)</f>
        <v/>
      </c>
      <c r="K27" s="156"/>
      <c r="L27" s="17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pans="1:31" s="1" customFormat="1" ht="18" customHeight="1" x14ac:dyDescent="0.2">
      <c r="A28" s="156"/>
      <c r="B28" s="16"/>
      <c r="C28" s="156"/>
      <c r="D28" s="156"/>
      <c r="E28" s="147" t="str">
        <f>IF('[4]Rekapitulace stavby'!E20="","",'[4]Rekapitulace stavby'!E20)</f>
        <v xml:space="preserve"> </v>
      </c>
      <c r="F28" s="156"/>
      <c r="G28" s="156"/>
      <c r="H28" s="156"/>
      <c r="I28" s="154" t="s">
        <v>15</v>
      </c>
      <c r="J28" s="147" t="str">
        <f>IF('[4]Rekapitulace stavby'!AN20="","",'[4]Rekapitulace stavby'!AN20)</f>
        <v/>
      </c>
      <c r="K28" s="156"/>
      <c r="L28" s="17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</row>
    <row r="29" spans="1:31" s="1" customFormat="1" ht="6.95" customHeight="1" x14ac:dyDescent="0.2">
      <c r="A29" s="156"/>
      <c r="B29" s="16"/>
      <c r="C29" s="156"/>
      <c r="D29" s="156"/>
      <c r="E29" s="156"/>
      <c r="F29" s="156"/>
      <c r="G29" s="156"/>
      <c r="H29" s="156"/>
      <c r="I29" s="156"/>
      <c r="J29" s="156"/>
      <c r="K29" s="156"/>
      <c r="L29" s="17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pans="1:31" s="1" customFormat="1" ht="12" customHeight="1" x14ac:dyDescent="0.2">
      <c r="A30" s="156"/>
      <c r="B30" s="16"/>
      <c r="C30" s="156"/>
      <c r="D30" s="154" t="s">
        <v>21</v>
      </c>
      <c r="E30" s="156"/>
      <c r="F30" s="156"/>
      <c r="G30" s="156"/>
      <c r="H30" s="156"/>
      <c r="I30" s="156"/>
      <c r="J30" s="156"/>
      <c r="K30" s="156"/>
      <c r="L30" s="17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</row>
    <row r="31" spans="1:31" s="2" customFormat="1" ht="16.5" customHeight="1" x14ac:dyDescent="0.2">
      <c r="A31" s="37"/>
      <c r="B31" s="38"/>
      <c r="C31" s="37"/>
      <c r="D31" s="37"/>
      <c r="E31" s="200" t="s">
        <v>0</v>
      </c>
      <c r="F31" s="200"/>
      <c r="G31" s="200"/>
      <c r="H31" s="200"/>
      <c r="I31" s="37"/>
      <c r="J31" s="37"/>
      <c r="K31" s="37"/>
      <c r="L31" s="3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1" customFormat="1" ht="6.95" customHeight="1" x14ac:dyDescent="0.2">
      <c r="A32" s="156"/>
      <c r="B32" s="16"/>
      <c r="C32" s="156"/>
      <c r="D32" s="156"/>
      <c r="E32" s="156"/>
      <c r="F32" s="156"/>
      <c r="G32" s="156"/>
      <c r="H32" s="156"/>
      <c r="I32" s="156"/>
      <c r="J32" s="156"/>
      <c r="K32" s="156"/>
      <c r="L32" s="17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</row>
    <row r="33" spans="1:31" s="1" customFormat="1" ht="6.95" customHeight="1" x14ac:dyDescent="0.2">
      <c r="A33" s="156"/>
      <c r="B33" s="16"/>
      <c r="C33" s="156"/>
      <c r="D33" s="34"/>
      <c r="E33" s="34"/>
      <c r="F33" s="34"/>
      <c r="G33" s="34"/>
      <c r="H33" s="34"/>
      <c r="I33" s="34"/>
      <c r="J33" s="34"/>
      <c r="K33" s="34"/>
      <c r="L33" s="17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</row>
    <row r="34" spans="1:31" s="1" customFormat="1" ht="25.35" customHeight="1" x14ac:dyDescent="0.2">
      <c r="A34" s="156"/>
      <c r="B34" s="16"/>
      <c r="C34" s="156"/>
      <c r="D34" s="40" t="s">
        <v>22</v>
      </c>
      <c r="E34" s="156"/>
      <c r="F34" s="156"/>
      <c r="G34" s="156"/>
      <c r="H34" s="156"/>
      <c r="I34" s="156"/>
      <c r="J34" s="152">
        <f>ROUND(J132, 2)</f>
        <v>182821.36</v>
      </c>
      <c r="K34" s="156"/>
      <c r="L34" s="17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</row>
    <row r="35" spans="1:31" s="1" customFormat="1" ht="6.95" customHeight="1" x14ac:dyDescent="0.2">
      <c r="A35" s="156"/>
      <c r="B35" s="16"/>
      <c r="C35" s="156"/>
      <c r="D35" s="34"/>
      <c r="E35" s="34"/>
      <c r="F35" s="34"/>
      <c r="G35" s="34"/>
      <c r="H35" s="34"/>
      <c r="I35" s="34"/>
      <c r="J35" s="34"/>
      <c r="K35" s="34"/>
      <c r="L35" s="17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</row>
    <row r="36" spans="1:31" s="1" customFormat="1" ht="14.45" customHeight="1" x14ac:dyDescent="0.2">
      <c r="A36" s="156"/>
      <c r="B36" s="16"/>
      <c r="C36" s="156"/>
      <c r="D36" s="156"/>
      <c r="E36" s="156"/>
      <c r="F36" s="150" t="s">
        <v>24</v>
      </c>
      <c r="G36" s="156"/>
      <c r="H36" s="156"/>
      <c r="I36" s="150" t="s">
        <v>23</v>
      </c>
      <c r="J36" s="150" t="s">
        <v>25</v>
      </c>
      <c r="K36" s="156"/>
      <c r="L36" s="17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</row>
    <row r="37" spans="1:31" s="1" customFormat="1" ht="14.45" customHeight="1" x14ac:dyDescent="0.2">
      <c r="A37" s="156"/>
      <c r="B37" s="16"/>
      <c r="C37" s="156"/>
      <c r="D37" s="155" t="s">
        <v>26</v>
      </c>
      <c r="E37" s="154" t="s">
        <v>27</v>
      </c>
      <c r="F37" s="41">
        <f>ROUND((SUM(BE132:BE339)),  2)</f>
        <v>182821.36</v>
      </c>
      <c r="G37" s="156"/>
      <c r="H37" s="156"/>
      <c r="I37" s="42">
        <v>0.21</v>
      </c>
      <c r="J37" s="41">
        <f>ROUND(((SUM(BE132:BE339))*I37),  2)</f>
        <v>38392.49</v>
      </c>
      <c r="K37" s="156"/>
      <c r="L37" s="17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</row>
    <row r="38" spans="1:31" s="1" customFormat="1" ht="14.45" customHeight="1" x14ac:dyDescent="0.2">
      <c r="A38" s="156"/>
      <c r="B38" s="16"/>
      <c r="C38" s="156"/>
      <c r="D38" s="156"/>
      <c r="E38" s="154" t="s">
        <v>28</v>
      </c>
      <c r="F38" s="41">
        <f>ROUND((SUM(BF132:BF339)),  2)</f>
        <v>0</v>
      </c>
      <c r="G38" s="156"/>
      <c r="H38" s="156"/>
      <c r="I38" s="42">
        <v>0.15</v>
      </c>
      <c r="J38" s="41">
        <f>ROUND(((SUM(BF132:BF339))*I38),  2)</f>
        <v>0</v>
      </c>
      <c r="K38" s="156"/>
      <c r="L38" s="17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</row>
    <row r="39" spans="1:31" s="1" customFormat="1" ht="14.45" hidden="1" customHeight="1" x14ac:dyDescent="0.2">
      <c r="A39" s="156"/>
      <c r="B39" s="16"/>
      <c r="C39" s="156"/>
      <c r="D39" s="156"/>
      <c r="E39" s="154" t="s">
        <v>29</v>
      </c>
      <c r="F39" s="41">
        <f>ROUND((SUM(BG132:BG339)),  2)</f>
        <v>0</v>
      </c>
      <c r="G39" s="156"/>
      <c r="H39" s="156"/>
      <c r="I39" s="42">
        <v>0.21</v>
      </c>
      <c r="J39" s="41">
        <f>0</f>
        <v>0</v>
      </c>
      <c r="K39" s="156"/>
      <c r="L39" s="17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</row>
    <row r="40" spans="1:31" s="1" customFormat="1" ht="14.45" hidden="1" customHeight="1" x14ac:dyDescent="0.2">
      <c r="A40" s="156"/>
      <c r="B40" s="16"/>
      <c r="C40" s="156"/>
      <c r="D40" s="156"/>
      <c r="E40" s="154" t="s">
        <v>30</v>
      </c>
      <c r="F40" s="41">
        <f>ROUND((SUM(BH132:BH339)),  2)</f>
        <v>0</v>
      </c>
      <c r="G40" s="156"/>
      <c r="H40" s="156"/>
      <c r="I40" s="42">
        <v>0.15</v>
      </c>
      <c r="J40" s="41">
        <f>0</f>
        <v>0</v>
      </c>
      <c r="K40" s="156"/>
      <c r="L40" s="17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</row>
    <row r="41" spans="1:31" s="1" customFormat="1" ht="14.45" hidden="1" customHeight="1" x14ac:dyDescent="0.2">
      <c r="A41" s="156"/>
      <c r="B41" s="16"/>
      <c r="C41" s="156"/>
      <c r="D41" s="156"/>
      <c r="E41" s="154" t="s">
        <v>31</v>
      </c>
      <c r="F41" s="41">
        <f>ROUND((SUM(BI132:BI339)),  2)</f>
        <v>0</v>
      </c>
      <c r="G41" s="156"/>
      <c r="H41" s="156"/>
      <c r="I41" s="42">
        <v>0</v>
      </c>
      <c r="J41" s="41">
        <f>0</f>
        <v>0</v>
      </c>
      <c r="K41" s="156"/>
      <c r="L41" s="17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</row>
    <row r="42" spans="1:31" s="1" customFormat="1" ht="6.95" customHeight="1" x14ac:dyDescent="0.2">
      <c r="A42" s="156"/>
      <c r="B42" s="16"/>
      <c r="C42" s="156"/>
      <c r="D42" s="156"/>
      <c r="E42" s="156"/>
      <c r="F42" s="156"/>
      <c r="G42" s="156"/>
      <c r="H42" s="156"/>
      <c r="I42" s="156"/>
      <c r="J42" s="156"/>
      <c r="K42" s="156"/>
      <c r="L42" s="17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</row>
    <row r="43" spans="1:31" s="1" customFormat="1" ht="25.35" customHeight="1" x14ac:dyDescent="0.2">
      <c r="A43" s="156"/>
      <c r="B43" s="16"/>
      <c r="C43" s="43"/>
      <c r="D43" s="44" t="s">
        <v>32</v>
      </c>
      <c r="E43" s="29"/>
      <c r="F43" s="29"/>
      <c r="G43" s="45" t="s">
        <v>33</v>
      </c>
      <c r="H43" s="46" t="s">
        <v>34</v>
      </c>
      <c r="I43" s="29"/>
      <c r="J43" s="47">
        <f>SUM(J34:J41)</f>
        <v>221213.84999999998</v>
      </c>
      <c r="K43" s="48"/>
      <c r="L43" s="17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</row>
    <row r="44" spans="1:31" s="1" customFormat="1" ht="14.45" customHeight="1" x14ac:dyDescent="0.2">
      <c r="A44" s="156"/>
      <c r="B44" s="16"/>
      <c r="C44" s="156"/>
      <c r="D44" s="156"/>
      <c r="E44" s="156"/>
      <c r="F44" s="156"/>
      <c r="G44" s="156"/>
      <c r="H44" s="156"/>
      <c r="I44" s="156"/>
      <c r="J44" s="156"/>
      <c r="K44" s="156"/>
      <c r="L44" s="17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</row>
    <row r="45" spans="1:31" ht="14.45" customHeight="1" x14ac:dyDescent="0.2">
      <c r="B45" s="13"/>
      <c r="L45" s="13"/>
    </row>
    <row r="46" spans="1:31" ht="14.45" customHeight="1" x14ac:dyDescent="0.2">
      <c r="B46" s="13"/>
      <c r="L46" s="13"/>
    </row>
    <row r="47" spans="1:31" ht="14.45" customHeight="1" x14ac:dyDescent="0.2">
      <c r="B47" s="13"/>
      <c r="L47" s="13"/>
    </row>
    <row r="48" spans="1:31" ht="14.45" customHeight="1" x14ac:dyDescent="0.2">
      <c r="B48" s="13"/>
      <c r="L48" s="13"/>
    </row>
    <row r="49" spans="1:31" s="1" customFormat="1" ht="14.45" customHeight="1" x14ac:dyDescent="0.2">
      <c r="B49" s="17"/>
      <c r="D49" s="18" t="s">
        <v>35</v>
      </c>
      <c r="E49" s="19"/>
      <c r="F49" s="19"/>
      <c r="G49" s="18" t="s">
        <v>36</v>
      </c>
      <c r="H49" s="19"/>
      <c r="I49" s="19"/>
      <c r="J49" s="19"/>
      <c r="K49" s="19"/>
      <c r="L49" s="17"/>
    </row>
    <row r="50" spans="1:31" x14ac:dyDescent="0.2">
      <c r="B50" s="13"/>
      <c r="L50" s="13"/>
    </row>
    <row r="51" spans="1:31" x14ac:dyDescent="0.2">
      <c r="B51" s="13"/>
      <c r="L51" s="13"/>
    </row>
    <row r="52" spans="1:31" x14ac:dyDescent="0.2">
      <c r="B52" s="13"/>
      <c r="L52" s="13"/>
    </row>
    <row r="53" spans="1:31" x14ac:dyDescent="0.2">
      <c r="B53" s="13"/>
      <c r="L53" s="13"/>
    </row>
    <row r="54" spans="1:31" x14ac:dyDescent="0.2">
      <c r="B54" s="13"/>
      <c r="L54" s="13"/>
    </row>
    <row r="55" spans="1:31" x14ac:dyDescent="0.2">
      <c r="B55" s="13"/>
      <c r="L55" s="13"/>
    </row>
    <row r="56" spans="1:31" x14ac:dyDescent="0.2">
      <c r="B56" s="13"/>
      <c r="L56" s="13"/>
    </row>
    <row r="57" spans="1:31" x14ac:dyDescent="0.2">
      <c r="B57" s="13"/>
      <c r="L57" s="13"/>
    </row>
    <row r="58" spans="1:31" x14ac:dyDescent="0.2">
      <c r="B58" s="13"/>
      <c r="L58" s="13"/>
    </row>
    <row r="59" spans="1:31" x14ac:dyDescent="0.2">
      <c r="B59" s="13"/>
      <c r="L59" s="13"/>
    </row>
    <row r="60" spans="1:31" s="1" customFormat="1" ht="12.75" x14ac:dyDescent="0.2">
      <c r="A60" s="156"/>
      <c r="B60" s="16"/>
      <c r="C60" s="156"/>
      <c r="D60" s="20" t="s">
        <v>37</v>
      </c>
      <c r="E60" s="149"/>
      <c r="F60" s="49" t="s">
        <v>38</v>
      </c>
      <c r="G60" s="20" t="s">
        <v>37</v>
      </c>
      <c r="H60" s="149"/>
      <c r="I60" s="149"/>
      <c r="J60" s="50" t="s">
        <v>38</v>
      </c>
      <c r="K60" s="149"/>
      <c r="L60" s="17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</row>
    <row r="61" spans="1:31" x14ac:dyDescent="0.2">
      <c r="B61" s="13"/>
      <c r="L61" s="13"/>
    </row>
    <row r="62" spans="1:31" x14ac:dyDescent="0.2">
      <c r="B62" s="13"/>
      <c r="L62" s="13"/>
    </row>
    <row r="63" spans="1:31" x14ac:dyDescent="0.2">
      <c r="B63" s="13"/>
      <c r="L63" s="13"/>
    </row>
    <row r="64" spans="1:31" s="1" customFormat="1" ht="12.75" x14ac:dyDescent="0.2">
      <c r="A64" s="156"/>
      <c r="B64" s="16"/>
      <c r="C64" s="156"/>
      <c r="D64" s="18" t="s">
        <v>39</v>
      </c>
      <c r="E64" s="21"/>
      <c r="F64" s="21"/>
      <c r="G64" s="18" t="s">
        <v>40</v>
      </c>
      <c r="H64" s="21"/>
      <c r="I64" s="21"/>
      <c r="J64" s="21"/>
      <c r="K64" s="21"/>
      <c r="L64" s="17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</row>
    <row r="65" spans="1:31" x14ac:dyDescent="0.2">
      <c r="B65" s="13"/>
      <c r="L65" s="13"/>
    </row>
    <row r="66" spans="1:31" x14ac:dyDescent="0.2">
      <c r="B66" s="13"/>
      <c r="L66" s="13"/>
    </row>
    <row r="67" spans="1:31" x14ac:dyDescent="0.2">
      <c r="B67" s="13"/>
      <c r="L67" s="13"/>
    </row>
    <row r="68" spans="1:31" x14ac:dyDescent="0.2">
      <c r="B68" s="13"/>
      <c r="L68" s="13"/>
    </row>
    <row r="69" spans="1:31" x14ac:dyDescent="0.2">
      <c r="B69" s="13"/>
      <c r="L69" s="13"/>
    </row>
    <row r="70" spans="1:31" x14ac:dyDescent="0.2">
      <c r="B70" s="13"/>
      <c r="L70" s="13"/>
    </row>
    <row r="71" spans="1:31" x14ac:dyDescent="0.2">
      <c r="B71" s="13"/>
      <c r="L71" s="13"/>
    </row>
    <row r="72" spans="1:31" x14ac:dyDescent="0.2">
      <c r="B72" s="13"/>
      <c r="L72" s="13"/>
    </row>
    <row r="73" spans="1:31" x14ac:dyDescent="0.2">
      <c r="B73" s="13"/>
      <c r="L73" s="13"/>
    </row>
    <row r="74" spans="1:31" x14ac:dyDescent="0.2">
      <c r="B74" s="13"/>
      <c r="L74" s="13"/>
    </row>
    <row r="75" spans="1:31" s="1" customFormat="1" ht="12.75" x14ac:dyDescent="0.2">
      <c r="A75" s="156"/>
      <c r="B75" s="16"/>
      <c r="C75" s="156"/>
      <c r="D75" s="20" t="s">
        <v>37</v>
      </c>
      <c r="E75" s="149"/>
      <c r="F75" s="49" t="s">
        <v>38</v>
      </c>
      <c r="G75" s="20" t="s">
        <v>37</v>
      </c>
      <c r="H75" s="149"/>
      <c r="I75" s="149"/>
      <c r="J75" s="50" t="s">
        <v>38</v>
      </c>
      <c r="K75" s="149"/>
      <c r="L75" s="17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</row>
    <row r="76" spans="1:31" s="1" customFormat="1" ht="14.45" customHeight="1" x14ac:dyDescent="0.2">
      <c r="A76" s="156"/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17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</row>
    <row r="80" spans="1:31" s="1" customFormat="1" ht="6.95" customHeight="1" x14ac:dyDescent="0.2">
      <c r="A80" s="156"/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17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</row>
    <row r="81" spans="1:31" s="1" customFormat="1" ht="24.95" customHeight="1" x14ac:dyDescent="0.2">
      <c r="A81" s="156"/>
      <c r="B81" s="16"/>
      <c r="C81" s="14" t="s">
        <v>53</v>
      </c>
      <c r="D81" s="156"/>
      <c r="E81" s="156"/>
      <c r="F81" s="156"/>
      <c r="G81" s="156"/>
      <c r="H81" s="156"/>
      <c r="I81" s="156"/>
      <c r="J81" s="156"/>
      <c r="K81" s="156"/>
      <c r="L81" s="17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</row>
    <row r="82" spans="1:31" s="1" customFormat="1" ht="6.95" customHeight="1" x14ac:dyDescent="0.2">
      <c r="A82" s="156"/>
      <c r="B82" s="16"/>
      <c r="C82" s="156"/>
      <c r="D82" s="156"/>
      <c r="E82" s="156"/>
      <c r="F82" s="156"/>
      <c r="G82" s="156"/>
      <c r="H82" s="156"/>
      <c r="I82" s="156"/>
      <c r="J82" s="156"/>
      <c r="K82" s="156"/>
      <c r="L82" s="17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</row>
    <row r="83" spans="1:31" s="1" customFormat="1" ht="12" customHeight="1" x14ac:dyDescent="0.2">
      <c r="A83" s="156"/>
      <c r="B83" s="16"/>
      <c r="C83" s="154" t="s">
        <v>6</v>
      </c>
      <c r="D83" s="156"/>
      <c r="E83" s="156"/>
      <c r="F83" s="156"/>
      <c r="G83" s="156"/>
      <c r="H83" s="156"/>
      <c r="I83" s="156"/>
      <c r="J83" s="156"/>
      <c r="K83" s="156"/>
      <c r="L83" s="17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</row>
    <row r="84" spans="1:31" s="1" customFormat="1" ht="16.5" customHeight="1" x14ac:dyDescent="0.2">
      <c r="A84" s="156"/>
      <c r="B84" s="16"/>
      <c r="C84" s="156"/>
      <c r="D84" s="156"/>
      <c r="E84" s="195" t="str">
        <f>E7</f>
        <v>Kanalizace Podlesí - I.Etapa</v>
      </c>
      <c r="F84" s="201"/>
      <c r="G84" s="201"/>
      <c r="H84" s="201"/>
      <c r="I84" s="156"/>
      <c r="J84" s="156"/>
      <c r="K84" s="156"/>
      <c r="L84" s="17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</row>
    <row r="85" spans="1:31" ht="12" customHeight="1" x14ac:dyDescent="0.2">
      <c r="B85" s="13"/>
      <c r="C85" s="154" t="s">
        <v>50</v>
      </c>
      <c r="L85" s="13"/>
    </row>
    <row r="86" spans="1:31" ht="16.5" customHeight="1" x14ac:dyDescent="0.2">
      <c r="B86" s="13"/>
      <c r="E86" s="195" t="s">
        <v>51</v>
      </c>
      <c r="F86" s="196"/>
      <c r="G86" s="196"/>
      <c r="H86" s="196"/>
      <c r="L86" s="13"/>
    </row>
    <row r="87" spans="1:31" ht="12" customHeight="1" x14ac:dyDescent="0.2">
      <c r="B87" s="13"/>
      <c r="C87" s="154" t="s">
        <v>52</v>
      </c>
      <c r="L87" s="13"/>
    </row>
    <row r="88" spans="1:31" s="1" customFormat="1" ht="16.5" customHeight="1" x14ac:dyDescent="0.2">
      <c r="A88" s="156"/>
      <c r="B88" s="16"/>
      <c r="C88" s="156"/>
      <c r="D88" s="156"/>
      <c r="E88" s="197" t="s">
        <v>201</v>
      </c>
      <c r="F88" s="198"/>
      <c r="G88" s="198"/>
      <c r="H88" s="198"/>
      <c r="I88" s="156"/>
      <c r="J88" s="156"/>
      <c r="K88" s="156"/>
      <c r="L88" s="17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31" s="1" customFormat="1" ht="12" customHeight="1" x14ac:dyDescent="0.2">
      <c r="A89" s="156"/>
      <c r="B89" s="16"/>
      <c r="C89" s="154" t="s">
        <v>202</v>
      </c>
      <c r="D89" s="156"/>
      <c r="E89" s="156"/>
      <c r="F89" s="156"/>
      <c r="G89" s="156"/>
      <c r="H89" s="156"/>
      <c r="I89" s="156"/>
      <c r="J89" s="156"/>
      <c r="K89" s="156"/>
      <c r="L89" s="17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31" s="1" customFormat="1" ht="16.5" customHeight="1" x14ac:dyDescent="0.2">
      <c r="A90" s="156"/>
      <c r="B90" s="16"/>
      <c r="C90" s="156"/>
      <c r="D90" s="156"/>
      <c r="E90" s="199" t="str">
        <f>E13</f>
        <v>00001 - DSO 01.1.1a Kanalizační odbočení Stoky A-Oa2a(4,86m), Oa11a(2,51m), Oa25a(4,83m), Oa25b(5,14m)</v>
      </c>
      <c r="F90" s="198"/>
      <c r="G90" s="198"/>
      <c r="H90" s="198"/>
      <c r="I90" s="156"/>
      <c r="J90" s="156"/>
      <c r="K90" s="156"/>
      <c r="L90" s="17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31" s="1" customFormat="1" ht="6.95" customHeight="1" x14ac:dyDescent="0.2">
      <c r="A91" s="156"/>
      <c r="B91" s="16"/>
      <c r="C91" s="156"/>
      <c r="D91" s="156"/>
      <c r="E91" s="156"/>
      <c r="F91" s="156"/>
      <c r="G91" s="156"/>
      <c r="H91" s="156"/>
      <c r="I91" s="156"/>
      <c r="J91" s="156"/>
      <c r="K91" s="156"/>
      <c r="L91" s="17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31" s="1" customFormat="1" ht="12" customHeight="1" x14ac:dyDescent="0.2">
      <c r="A92" s="156"/>
      <c r="B92" s="16"/>
      <c r="C92" s="154" t="s">
        <v>9</v>
      </c>
      <c r="D92" s="156"/>
      <c r="E92" s="156"/>
      <c r="F92" s="147" t="str">
        <f>F16</f>
        <v xml:space="preserve"> </v>
      </c>
      <c r="G92" s="156"/>
      <c r="H92" s="156"/>
      <c r="I92" s="154" t="s">
        <v>11</v>
      </c>
      <c r="J92" s="153" t="str">
        <f>IF(J16="","",J16)</f>
        <v>18. 11. 2020</v>
      </c>
      <c r="K92" s="156"/>
      <c r="L92" s="17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31" s="1" customFormat="1" ht="6.95" customHeight="1" x14ac:dyDescent="0.2">
      <c r="A93" s="156"/>
      <c r="B93" s="16"/>
      <c r="C93" s="156"/>
      <c r="D93" s="156"/>
      <c r="E93" s="156"/>
      <c r="F93" s="156"/>
      <c r="G93" s="156"/>
      <c r="H93" s="156"/>
      <c r="I93" s="156"/>
      <c r="J93" s="156"/>
      <c r="K93" s="156"/>
      <c r="L93" s="17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31" s="1" customFormat="1" ht="40.15" customHeight="1" x14ac:dyDescent="0.2">
      <c r="A94" s="156"/>
      <c r="B94" s="16"/>
      <c r="C94" s="154" t="s">
        <v>12</v>
      </c>
      <c r="D94" s="156"/>
      <c r="E94" s="156"/>
      <c r="F94" s="147" t="str">
        <f>E19</f>
        <v>Město Petřvald</v>
      </c>
      <c r="G94" s="156"/>
      <c r="H94" s="156"/>
      <c r="I94" s="154" t="s">
        <v>17</v>
      </c>
      <c r="J94" s="148" t="str">
        <f>E25</f>
        <v>Sweco Hydroprojekt a.s., divize Morava</v>
      </c>
      <c r="K94" s="156"/>
      <c r="L94" s="17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</row>
    <row r="95" spans="1:31" s="1" customFormat="1" ht="15.2" customHeight="1" x14ac:dyDescent="0.2">
      <c r="A95" s="156"/>
      <c r="B95" s="16"/>
      <c r="C95" s="154" t="s">
        <v>16</v>
      </c>
      <c r="D95" s="156"/>
      <c r="E95" s="156"/>
      <c r="F95" s="147" t="str">
        <f>IF(E22="","",E22)</f>
        <v>Společnost Podlesí se sídlem Žitenická 871/1, 190 00 Praha 9</v>
      </c>
      <c r="G95" s="156"/>
      <c r="H95" s="156"/>
      <c r="I95" s="154" t="s">
        <v>20</v>
      </c>
      <c r="J95" s="148" t="str">
        <f>E28</f>
        <v xml:space="preserve"> </v>
      </c>
      <c r="K95" s="156"/>
      <c r="L95" s="17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</row>
    <row r="96" spans="1:31" s="1" customFormat="1" ht="10.35" customHeight="1" x14ac:dyDescent="0.2">
      <c r="A96" s="156"/>
      <c r="B96" s="16"/>
      <c r="C96" s="156"/>
      <c r="D96" s="156"/>
      <c r="E96" s="156"/>
      <c r="F96" s="156"/>
      <c r="G96" s="156"/>
      <c r="H96" s="156"/>
      <c r="I96" s="156"/>
      <c r="J96" s="156"/>
      <c r="K96" s="156"/>
      <c r="L96" s="17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</row>
    <row r="97" spans="1:47" s="1" customFormat="1" ht="29.25" customHeight="1" x14ac:dyDescent="0.2">
      <c r="A97" s="156"/>
      <c r="B97" s="16"/>
      <c r="C97" s="51" t="s">
        <v>54</v>
      </c>
      <c r="D97" s="43"/>
      <c r="E97" s="43"/>
      <c r="F97" s="43"/>
      <c r="G97" s="43"/>
      <c r="H97" s="43"/>
      <c r="I97" s="43"/>
      <c r="J97" s="52" t="s">
        <v>55</v>
      </c>
      <c r="K97" s="43"/>
      <c r="L97" s="17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</row>
    <row r="98" spans="1:47" s="1" customFormat="1" ht="10.35" customHeight="1" x14ac:dyDescent="0.2">
      <c r="A98" s="156"/>
      <c r="B98" s="16"/>
      <c r="C98" s="156"/>
      <c r="D98" s="156"/>
      <c r="E98" s="156"/>
      <c r="F98" s="156"/>
      <c r="G98" s="156"/>
      <c r="H98" s="156"/>
      <c r="I98" s="156"/>
      <c r="J98" s="156"/>
      <c r="K98" s="156"/>
      <c r="L98" s="17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</row>
    <row r="99" spans="1:47" s="1" customFormat="1" ht="22.9" customHeight="1" x14ac:dyDescent="0.2">
      <c r="A99" s="156"/>
      <c r="B99" s="16"/>
      <c r="C99" s="53" t="s">
        <v>56</v>
      </c>
      <c r="D99" s="156"/>
      <c r="E99" s="156"/>
      <c r="F99" s="156"/>
      <c r="G99" s="156"/>
      <c r="H99" s="156"/>
      <c r="I99" s="156"/>
      <c r="J99" s="152">
        <f>J132</f>
        <v>182821.36</v>
      </c>
      <c r="K99" s="156"/>
      <c r="L99" s="17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U99" s="10" t="s">
        <v>57</v>
      </c>
    </row>
    <row r="100" spans="1:47" s="3" customFormat="1" ht="24.95" customHeight="1" x14ac:dyDescent="0.2">
      <c r="B100" s="54"/>
      <c r="D100" s="55" t="s">
        <v>58</v>
      </c>
      <c r="E100" s="56"/>
      <c r="F100" s="56"/>
      <c r="G100" s="56"/>
      <c r="H100" s="56"/>
      <c r="I100" s="56"/>
      <c r="J100" s="57">
        <f>J133</f>
        <v>182821.36</v>
      </c>
      <c r="L100" s="54"/>
    </row>
    <row r="101" spans="1:47" s="151" customFormat="1" ht="19.899999999999999" customHeight="1" x14ac:dyDescent="0.2">
      <c r="B101" s="58"/>
      <c r="D101" s="59" t="s">
        <v>59</v>
      </c>
      <c r="E101" s="60"/>
      <c r="F101" s="60"/>
      <c r="G101" s="60"/>
      <c r="H101" s="60"/>
      <c r="I101" s="60"/>
      <c r="J101" s="61">
        <f>J134</f>
        <v>88720.209999999992</v>
      </c>
      <c r="L101" s="58"/>
    </row>
    <row r="102" spans="1:47" s="151" customFormat="1" ht="19.899999999999999" customHeight="1" x14ac:dyDescent="0.2">
      <c r="B102" s="58"/>
      <c r="D102" s="59" t="s">
        <v>206</v>
      </c>
      <c r="E102" s="60"/>
      <c r="F102" s="60"/>
      <c r="G102" s="60"/>
      <c r="H102" s="60"/>
      <c r="I102" s="60"/>
      <c r="J102" s="61">
        <f>J231</f>
        <v>4674.01</v>
      </c>
      <c r="L102" s="58"/>
    </row>
    <row r="103" spans="1:47" s="151" customFormat="1" ht="19.899999999999999" customHeight="1" x14ac:dyDescent="0.2">
      <c r="B103" s="58"/>
      <c r="D103" s="59" t="s">
        <v>207</v>
      </c>
      <c r="E103" s="60"/>
      <c r="F103" s="60"/>
      <c r="G103" s="60"/>
      <c r="H103" s="60"/>
      <c r="I103" s="60"/>
      <c r="J103" s="61">
        <f>J236</f>
        <v>3973.21</v>
      </c>
      <c r="L103" s="58"/>
    </row>
    <row r="104" spans="1:47" s="151" customFormat="1" ht="19.899999999999999" customHeight="1" x14ac:dyDescent="0.2">
      <c r="B104" s="58"/>
      <c r="D104" s="59" t="s">
        <v>208</v>
      </c>
      <c r="E104" s="60"/>
      <c r="F104" s="60"/>
      <c r="G104" s="60"/>
      <c r="H104" s="60"/>
      <c r="I104" s="60"/>
      <c r="J104" s="61">
        <f>J257</f>
        <v>11704.12</v>
      </c>
      <c r="L104" s="58"/>
    </row>
    <row r="105" spans="1:47" s="151" customFormat="1" ht="19.899999999999999" customHeight="1" x14ac:dyDescent="0.2">
      <c r="B105" s="58"/>
      <c r="D105" s="59" t="s">
        <v>209</v>
      </c>
      <c r="E105" s="60"/>
      <c r="F105" s="60"/>
      <c r="G105" s="60"/>
      <c r="H105" s="60"/>
      <c r="I105" s="60"/>
      <c r="J105" s="61">
        <f>J267</f>
        <v>62484.919999999984</v>
      </c>
      <c r="L105" s="58"/>
    </row>
    <row r="106" spans="1:47" s="151" customFormat="1" ht="19.899999999999999" customHeight="1" x14ac:dyDescent="0.2">
      <c r="B106" s="58"/>
      <c r="D106" s="59" t="s">
        <v>210</v>
      </c>
      <c r="E106" s="60"/>
      <c r="F106" s="60"/>
      <c r="G106" s="60"/>
      <c r="H106" s="60"/>
      <c r="I106" s="60"/>
      <c r="J106" s="61">
        <f>J311</f>
        <v>5872.73</v>
      </c>
      <c r="L106" s="58"/>
    </row>
    <row r="107" spans="1:47" s="151" customFormat="1" ht="19.899999999999999" customHeight="1" x14ac:dyDescent="0.2">
      <c r="B107" s="58"/>
      <c r="D107" s="59" t="s">
        <v>211</v>
      </c>
      <c r="E107" s="60"/>
      <c r="F107" s="60"/>
      <c r="G107" s="60"/>
      <c r="H107" s="60"/>
      <c r="I107" s="60"/>
      <c r="J107" s="61">
        <f>J320</f>
        <v>4849.2899999999991</v>
      </c>
      <c r="L107" s="58"/>
    </row>
    <row r="108" spans="1:47" s="151" customFormat="1" ht="19.899999999999999" customHeight="1" x14ac:dyDescent="0.2">
      <c r="B108" s="58"/>
      <c r="D108" s="59" t="s">
        <v>135</v>
      </c>
      <c r="E108" s="60"/>
      <c r="F108" s="60"/>
      <c r="G108" s="60"/>
      <c r="H108" s="60"/>
      <c r="I108" s="60"/>
      <c r="J108" s="61">
        <f>J337</f>
        <v>542.87</v>
      </c>
      <c r="L108" s="58"/>
    </row>
    <row r="109" spans="1:47" s="1" customFormat="1" ht="21.75" customHeight="1" x14ac:dyDescent="0.2">
      <c r="A109" s="156"/>
      <c r="B109" s="16"/>
      <c r="C109" s="156"/>
      <c r="D109" s="156"/>
      <c r="E109" s="156"/>
      <c r="F109" s="156"/>
      <c r="G109" s="156"/>
      <c r="H109" s="156"/>
      <c r="I109" s="156"/>
      <c r="J109" s="156"/>
      <c r="K109" s="156"/>
      <c r="L109" s="17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</row>
    <row r="110" spans="1:47" s="1" customFormat="1" ht="6.95" customHeight="1" x14ac:dyDescent="0.2">
      <c r="A110" s="156"/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17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</row>
    <row r="114" spans="1:31" s="1" customFormat="1" ht="6.95" customHeight="1" x14ac:dyDescent="0.2">
      <c r="A114" s="156"/>
      <c r="B114" s="24"/>
      <c r="C114" s="25"/>
      <c r="D114" s="25"/>
      <c r="E114" s="25"/>
      <c r="F114" s="25"/>
      <c r="G114" s="25"/>
      <c r="H114" s="25"/>
      <c r="I114" s="25"/>
      <c r="J114" s="25"/>
      <c r="K114" s="25"/>
      <c r="L114" s="17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</row>
    <row r="115" spans="1:31" s="1" customFormat="1" ht="24.95" customHeight="1" x14ac:dyDescent="0.2">
      <c r="A115" s="156"/>
      <c r="B115" s="16"/>
      <c r="C115" s="14" t="s">
        <v>60</v>
      </c>
      <c r="D115" s="156"/>
      <c r="E115" s="156"/>
      <c r="F115" s="156"/>
      <c r="G115" s="156"/>
      <c r="H115" s="156"/>
      <c r="I115" s="156"/>
      <c r="J115" s="156"/>
      <c r="K115" s="156"/>
      <c r="L115" s="17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31" s="1" customFormat="1" ht="6.95" customHeight="1" x14ac:dyDescent="0.2">
      <c r="A116" s="156"/>
      <c r="B116" s="16"/>
      <c r="C116" s="156"/>
      <c r="D116" s="156"/>
      <c r="E116" s="156"/>
      <c r="F116" s="156"/>
      <c r="G116" s="156"/>
      <c r="H116" s="156"/>
      <c r="I116" s="156"/>
      <c r="J116" s="156"/>
      <c r="K116" s="156"/>
      <c r="L116" s="17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31" s="1" customFormat="1" ht="12" customHeight="1" x14ac:dyDescent="0.2">
      <c r="A117" s="156"/>
      <c r="B117" s="16"/>
      <c r="C117" s="154" t="s">
        <v>6</v>
      </c>
      <c r="D117" s="156"/>
      <c r="E117" s="156"/>
      <c r="F117" s="156"/>
      <c r="G117" s="156"/>
      <c r="H117" s="156"/>
      <c r="I117" s="156"/>
      <c r="J117" s="156"/>
      <c r="K117" s="156"/>
      <c r="L117" s="17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31" s="1" customFormat="1" ht="16.5" customHeight="1" x14ac:dyDescent="0.2">
      <c r="A118" s="156"/>
      <c r="B118" s="16"/>
      <c r="C118" s="156"/>
      <c r="D118" s="156"/>
      <c r="E118" s="195" t="str">
        <f>E7</f>
        <v>Kanalizace Podlesí - I.Etapa</v>
      </c>
      <c r="F118" s="201"/>
      <c r="G118" s="201"/>
      <c r="H118" s="201"/>
      <c r="I118" s="156"/>
      <c r="J118" s="156"/>
      <c r="K118" s="156"/>
      <c r="L118" s="17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pans="1:31" ht="12" customHeight="1" x14ac:dyDescent="0.2">
      <c r="B119" s="13"/>
      <c r="C119" s="154" t="s">
        <v>50</v>
      </c>
      <c r="L119" s="13"/>
    </row>
    <row r="120" spans="1:31" ht="16.5" customHeight="1" x14ac:dyDescent="0.2">
      <c r="B120" s="13"/>
      <c r="E120" s="195" t="s">
        <v>51</v>
      </c>
      <c r="F120" s="196"/>
      <c r="G120" s="196"/>
      <c r="H120" s="196"/>
      <c r="L120" s="13"/>
    </row>
    <row r="121" spans="1:31" ht="12" customHeight="1" x14ac:dyDescent="0.2">
      <c r="B121" s="13"/>
      <c r="C121" s="154" t="s">
        <v>52</v>
      </c>
      <c r="L121" s="13"/>
    </row>
    <row r="122" spans="1:31" s="1" customFormat="1" ht="16.5" customHeight="1" x14ac:dyDescent="0.2">
      <c r="A122" s="156"/>
      <c r="B122" s="16"/>
      <c r="C122" s="156"/>
      <c r="D122" s="156"/>
      <c r="E122" s="197" t="s">
        <v>201</v>
      </c>
      <c r="F122" s="198"/>
      <c r="G122" s="198"/>
      <c r="H122" s="198"/>
      <c r="I122" s="156"/>
      <c r="J122" s="156"/>
      <c r="K122" s="156"/>
      <c r="L122" s="17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31" s="1" customFormat="1" ht="12" customHeight="1" x14ac:dyDescent="0.2">
      <c r="A123" s="156"/>
      <c r="B123" s="16"/>
      <c r="C123" s="154" t="s">
        <v>202</v>
      </c>
      <c r="D123" s="156"/>
      <c r="E123" s="156"/>
      <c r="F123" s="156"/>
      <c r="G123" s="156"/>
      <c r="H123" s="156"/>
      <c r="I123" s="156"/>
      <c r="J123" s="156"/>
      <c r="K123" s="156"/>
      <c r="L123" s="17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pans="1:31" s="1" customFormat="1" ht="26.25" customHeight="1" x14ac:dyDescent="0.2">
      <c r="A124" s="156"/>
      <c r="B124" s="16"/>
      <c r="C124" s="156"/>
      <c r="D124" s="156"/>
      <c r="E124" s="199" t="str">
        <f>E13</f>
        <v>00001 - DSO 01.1.1a Kanalizační odbočení Stoky A-Oa2a(4,86m), Oa11a(2,51m), Oa25a(4,83m), Oa25b(5,14m)</v>
      </c>
      <c r="F124" s="198"/>
      <c r="G124" s="198"/>
      <c r="H124" s="198"/>
      <c r="I124" s="156"/>
      <c r="J124" s="156"/>
      <c r="K124" s="156"/>
      <c r="L124" s="17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pans="1:31" s="1" customFormat="1" ht="6.95" customHeight="1" x14ac:dyDescent="0.2">
      <c r="A125" s="156"/>
      <c r="B125" s="16"/>
      <c r="C125" s="156"/>
      <c r="D125" s="156"/>
      <c r="E125" s="156"/>
      <c r="F125" s="156"/>
      <c r="G125" s="156"/>
      <c r="H125" s="156"/>
      <c r="I125" s="156"/>
      <c r="J125" s="156"/>
      <c r="K125" s="156"/>
      <c r="L125" s="17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31" s="1" customFormat="1" ht="12" customHeight="1" x14ac:dyDescent="0.2">
      <c r="A126" s="156"/>
      <c r="B126" s="16"/>
      <c r="C126" s="154" t="s">
        <v>9</v>
      </c>
      <c r="D126" s="156"/>
      <c r="E126" s="156"/>
      <c r="F126" s="147" t="str">
        <f>F16</f>
        <v xml:space="preserve"> </v>
      </c>
      <c r="G126" s="156"/>
      <c r="H126" s="156"/>
      <c r="I126" s="154" t="s">
        <v>11</v>
      </c>
      <c r="J126" s="153" t="str">
        <f>IF(J16="","",J16)</f>
        <v>18. 11. 2020</v>
      </c>
      <c r="K126" s="156"/>
      <c r="L126" s="17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pans="1:31" s="1" customFormat="1" ht="6.95" customHeight="1" x14ac:dyDescent="0.2">
      <c r="A127" s="156"/>
      <c r="B127" s="16"/>
      <c r="C127" s="156"/>
      <c r="D127" s="156"/>
      <c r="E127" s="156"/>
      <c r="F127" s="156"/>
      <c r="G127" s="156"/>
      <c r="H127" s="156"/>
      <c r="I127" s="156"/>
      <c r="J127" s="156"/>
      <c r="K127" s="156"/>
      <c r="L127" s="17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pans="1:31" s="1" customFormat="1" ht="40.15" customHeight="1" x14ac:dyDescent="0.2">
      <c r="A128" s="156"/>
      <c r="B128" s="16"/>
      <c r="C128" s="154" t="s">
        <v>12</v>
      </c>
      <c r="D128" s="156"/>
      <c r="E128" s="156"/>
      <c r="F128" s="147" t="str">
        <f>E19</f>
        <v>Město Petřvald</v>
      </c>
      <c r="G128" s="156"/>
      <c r="H128" s="156"/>
      <c r="I128" s="154" t="s">
        <v>17</v>
      </c>
      <c r="J128" s="148" t="str">
        <f>E25</f>
        <v>Sweco Hydroprojekt a.s., divize Morava</v>
      </c>
      <c r="K128" s="156"/>
      <c r="L128" s="17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pans="1:65" s="1" customFormat="1" ht="15.2" customHeight="1" x14ac:dyDescent="0.2">
      <c r="A129" s="156"/>
      <c r="B129" s="16"/>
      <c r="C129" s="154" t="s">
        <v>16</v>
      </c>
      <c r="D129" s="156"/>
      <c r="E129" s="156"/>
      <c r="F129" s="147" t="str">
        <f>IF(E22="","",E22)</f>
        <v>Společnost Podlesí se sídlem Žitenická 871/1, 190 00 Praha 9</v>
      </c>
      <c r="G129" s="156"/>
      <c r="H129" s="156"/>
      <c r="I129" s="154" t="s">
        <v>20</v>
      </c>
      <c r="J129" s="148" t="str">
        <f>E28</f>
        <v xml:space="preserve"> </v>
      </c>
      <c r="K129" s="156"/>
      <c r="L129" s="17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</row>
    <row r="130" spans="1:65" s="1" customFormat="1" ht="10.35" customHeight="1" x14ac:dyDescent="0.2">
      <c r="A130" s="156"/>
      <c r="B130" s="16"/>
      <c r="C130" s="156"/>
      <c r="D130" s="156"/>
      <c r="E130" s="156"/>
      <c r="F130" s="156"/>
      <c r="G130" s="156"/>
      <c r="H130" s="156"/>
      <c r="I130" s="156"/>
      <c r="J130" s="156"/>
      <c r="K130" s="156"/>
      <c r="L130" s="17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</row>
    <row r="131" spans="1:65" s="4" customFormat="1" ht="29.25" customHeight="1" x14ac:dyDescent="0.2">
      <c r="A131" s="62"/>
      <c r="B131" s="63"/>
      <c r="C131" s="64" t="s">
        <v>61</v>
      </c>
      <c r="D131" s="65" t="s">
        <v>43</v>
      </c>
      <c r="E131" s="65" t="s">
        <v>41</v>
      </c>
      <c r="F131" s="65" t="s">
        <v>42</v>
      </c>
      <c r="G131" s="65" t="s">
        <v>62</v>
      </c>
      <c r="H131" s="65" t="s">
        <v>63</v>
      </c>
      <c r="I131" s="65" t="s">
        <v>64</v>
      </c>
      <c r="J131" s="65" t="s">
        <v>55</v>
      </c>
      <c r="K131" s="66" t="s">
        <v>65</v>
      </c>
      <c r="L131" s="67"/>
      <c r="M131" s="30" t="s">
        <v>0</v>
      </c>
      <c r="N131" s="31" t="s">
        <v>26</v>
      </c>
      <c r="O131" s="31" t="s">
        <v>66</v>
      </c>
      <c r="P131" s="31" t="s">
        <v>67</v>
      </c>
      <c r="Q131" s="31" t="s">
        <v>68</v>
      </c>
      <c r="R131" s="31" t="s">
        <v>69</v>
      </c>
      <c r="S131" s="31" t="s">
        <v>70</v>
      </c>
      <c r="T131" s="32" t="s">
        <v>71</v>
      </c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</row>
    <row r="132" spans="1:65" s="1" customFormat="1" ht="22.9" customHeight="1" x14ac:dyDescent="0.25">
      <c r="A132" s="156"/>
      <c r="B132" s="16"/>
      <c r="C132" s="35" t="s">
        <v>72</v>
      </c>
      <c r="D132" s="156"/>
      <c r="E132" s="156"/>
      <c r="F132" s="156"/>
      <c r="G132" s="156" t="s">
        <v>212</v>
      </c>
      <c r="H132" s="156"/>
      <c r="I132" s="156"/>
      <c r="J132" s="68">
        <f>BK132</f>
        <v>182821.36</v>
      </c>
      <c r="K132" s="156"/>
      <c r="L132" s="16"/>
      <c r="M132" s="33"/>
      <c r="N132" s="26"/>
      <c r="O132" s="34"/>
      <c r="P132" s="69">
        <f>P133</f>
        <v>0</v>
      </c>
      <c r="Q132" s="34"/>
      <c r="R132" s="69">
        <f>R133</f>
        <v>68.256386199999994</v>
      </c>
      <c r="S132" s="34"/>
      <c r="T132" s="70">
        <f>T133</f>
        <v>20.039940000000001</v>
      </c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T132" s="10" t="s">
        <v>44</v>
      </c>
      <c r="AU132" s="10" t="s">
        <v>57</v>
      </c>
      <c r="BK132" s="71">
        <f>BK133</f>
        <v>182821.36</v>
      </c>
    </row>
    <row r="133" spans="1:65" s="5" customFormat="1" ht="25.9" customHeight="1" x14ac:dyDescent="0.2">
      <c r="B133" s="72"/>
      <c r="D133" s="73" t="s">
        <v>44</v>
      </c>
      <c r="E133" s="74" t="s">
        <v>73</v>
      </c>
      <c r="F133" s="74" t="s">
        <v>74</v>
      </c>
      <c r="G133" s="5" t="s">
        <v>212</v>
      </c>
      <c r="I133" s="75"/>
      <c r="J133" s="76">
        <f>BK133</f>
        <v>182821.36</v>
      </c>
      <c r="L133" s="72"/>
      <c r="M133" s="77"/>
      <c r="N133" s="78"/>
      <c r="O133" s="78"/>
      <c r="P133" s="79">
        <f>P134+P231+P236+P257+P267+P311+P320+P337</f>
        <v>0</v>
      </c>
      <c r="Q133" s="78"/>
      <c r="R133" s="79">
        <f>R134+R231+R236+R257+R267+R311+R320+R337</f>
        <v>68.256386199999994</v>
      </c>
      <c r="S133" s="78"/>
      <c r="T133" s="80">
        <f>T134+T231+T236+T257+T267+T311+T320+T337</f>
        <v>20.039940000000001</v>
      </c>
      <c r="AR133" s="73" t="s">
        <v>46</v>
      </c>
      <c r="AT133" s="81" t="s">
        <v>44</v>
      </c>
      <c r="AU133" s="81" t="s">
        <v>45</v>
      </c>
      <c r="AY133" s="73" t="s">
        <v>75</v>
      </c>
      <c r="BK133" s="82">
        <f>BK134+BK231+BK236+BK257+BK267+BK311+BK320+BK337</f>
        <v>182821.36</v>
      </c>
    </row>
    <row r="134" spans="1:65" s="5" customFormat="1" ht="22.9" customHeight="1" x14ac:dyDescent="0.2">
      <c r="B134" s="72"/>
      <c r="D134" s="73" t="s">
        <v>44</v>
      </c>
      <c r="E134" s="83" t="s">
        <v>46</v>
      </c>
      <c r="F134" s="83" t="s">
        <v>76</v>
      </c>
      <c r="G134" s="5" t="s">
        <v>212</v>
      </c>
      <c r="I134" s="75"/>
      <c r="J134" s="84">
        <f>BK134</f>
        <v>88720.209999999992</v>
      </c>
      <c r="L134" s="72"/>
      <c r="M134" s="77"/>
      <c r="N134" s="78"/>
      <c r="O134" s="78"/>
      <c r="P134" s="79">
        <f>SUM(P135:P230)</f>
        <v>0</v>
      </c>
      <c r="Q134" s="78"/>
      <c r="R134" s="79">
        <f>SUM(R135:R230)</f>
        <v>63.821949199999999</v>
      </c>
      <c r="S134" s="78"/>
      <c r="T134" s="80">
        <f>SUM(T135:T230)</f>
        <v>20.039940000000001</v>
      </c>
      <c r="AR134" s="73" t="s">
        <v>46</v>
      </c>
      <c r="AT134" s="81" t="s">
        <v>44</v>
      </c>
      <c r="AU134" s="81" t="s">
        <v>46</v>
      </c>
      <c r="AY134" s="73" t="s">
        <v>75</v>
      </c>
      <c r="BK134" s="82">
        <f>SUM(BK135:BK230)</f>
        <v>88720.209999999992</v>
      </c>
    </row>
    <row r="135" spans="1:65" s="1" customFormat="1" ht="24.2" customHeight="1" x14ac:dyDescent="0.2">
      <c r="A135" s="156"/>
      <c r="B135" s="85"/>
      <c r="C135" s="86" t="s">
        <v>46</v>
      </c>
      <c r="D135" s="86" t="s">
        <v>78</v>
      </c>
      <c r="E135" s="87" t="s">
        <v>146</v>
      </c>
      <c r="F135" s="88" t="s">
        <v>147</v>
      </c>
      <c r="G135" s="89" t="s">
        <v>100</v>
      </c>
      <c r="H135" s="90">
        <v>15.93</v>
      </c>
      <c r="I135" s="91">
        <v>68.767172335543137</v>
      </c>
      <c r="J135" s="92">
        <f>ROUND(I135*H135,2)</f>
        <v>1095.46</v>
      </c>
      <c r="K135" s="88" t="s">
        <v>0</v>
      </c>
      <c r="L135" s="16"/>
      <c r="M135" s="93" t="s">
        <v>0</v>
      </c>
      <c r="N135" s="94" t="s">
        <v>27</v>
      </c>
      <c r="O135" s="27"/>
      <c r="P135" s="95">
        <f>O135*H135</f>
        <v>0</v>
      </c>
      <c r="Q135" s="95">
        <v>0</v>
      </c>
      <c r="R135" s="95">
        <f>Q135*H135</f>
        <v>0</v>
      </c>
      <c r="S135" s="95">
        <v>0.57999999999999996</v>
      </c>
      <c r="T135" s="96">
        <f>S135*H135</f>
        <v>9.2393999999999998</v>
      </c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R135" s="97" t="s">
        <v>83</v>
      </c>
      <c r="AT135" s="97" t="s">
        <v>78</v>
      </c>
      <c r="AU135" s="97" t="s">
        <v>47</v>
      </c>
      <c r="AY135" s="10" t="s">
        <v>75</v>
      </c>
      <c r="BE135" s="98">
        <f>IF(N135="základní",J135,0)</f>
        <v>1095.46</v>
      </c>
      <c r="BF135" s="98">
        <f>IF(N135="snížená",J135,0)</f>
        <v>0</v>
      </c>
      <c r="BG135" s="98">
        <f>IF(N135="zákl. přenesená",J135,0)</f>
        <v>0</v>
      </c>
      <c r="BH135" s="98">
        <f>IF(N135="sníž. přenesená",J135,0)</f>
        <v>0</v>
      </c>
      <c r="BI135" s="98">
        <f>IF(N135="nulová",J135,0)</f>
        <v>0</v>
      </c>
      <c r="BJ135" s="10" t="s">
        <v>46</v>
      </c>
      <c r="BK135" s="98">
        <f>ROUND(I135*H135,2)</f>
        <v>1095.46</v>
      </c>
      <c r="BL135" s="10" t="s">
        <v>83</v>
      </c>
      <c r="BM135" s="97" t="s">
        <v>213</v>
      </c>
    </row>
    <row r="136" spans="1:65" s="1" customFormat="1" ht="39" x14ac:dyDescent="0.2">
      <c r="A136" s="156"/>
      <c r="B136" s="16"/>
      <c r="C136" s="156"/>
      <c r="D136" s="99" t="s">
        <v>84</v>
      </c>
      <c r="E136" s="156"/>
      <c r="F136" s="100" t="s">
        <v>148</v>
      </c>
      <c r="G136" s="156"/>
      <c r="H136" s="156"/>
      <c r="I136" s="101"/>
      <c r="J136" s="156"/>
      <c r="K136" s="156"/>
      <c r="L136" s="16"/>
      <c r="M136" s="102"/>
      <c r="N136" s="103"/>
      <c r="O136" s="27"/>
      <c r="P136" s="27"/>
      <c r="Q136" s="27"/>
      <c r="R136" s="27"/>
      <c r="S136" s="27"/>
      <c r="T136" s="28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T136" s="10" t="s">
        <v>84</v>
      </c>
      <c r="AU136" s="10" t="s">
        <v>47</v>
      </c>
    </row>
    <row r="137" spans="1:65" s="1" customFormat="1" x14ac:dyDescent="0.2">
      <c r="A137" s="168"/>
      <c r="B137" s="16"/>
      <c r="C137" s="168"/>
      <c r="D137" s="99"/>
      <c r="E137" s="168"/>
      <c r="F137" s="100" t="s">
        <v>444</v>
      </c>
      <c r="G137" s="168"/>
      <c r="H137" s="168">
        <f>17.7-1.77</f>
        <v>15.93</v>
      </c>
      <c r="I137" s="101"/>
      <c r="J137" s="168"/>
      <c r="K137" s="168"/>
      <c r="L137" s="16"/>
      <c r="M137" s="102"/>
      <c r="N137" s="103"/>
      <c r="O137" s="27"/>
      <c r="P137" s="27"/>
      <c r="Q137" s="27"/>
      <c r="R137" s="27"/>
      <c r="S137" s="27"/>
      <c r="T137" s="2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T137" s="10"/>
      <c r="AU137" s="10"/>
    </row>
    <row r="138" spans="1:65" s="1" customFormat="1" ht="24.2" customHeight="1" x14ac:dyDescent="0.2">
      <c r="A138" s="156"/>
      <c r="B138" s="85"/>
      <c r="C138" s="86" t="s">
        <v>47</v>
      </c>
      <c r="D138" s="86" t="s">
        <v>78</v>
      </c>
      <c r="E138" s="87" t="s">
        <v>149</v>
      </c>
      <c r="F138" s="88" t="s">
        <v>150</v>
      </c>
      <c r="G138" s="89" t="s">
        <v>100</v>
      </c>
      <c r="H138" s="90">
        <v>15.93</v>
      </c>
      <c r="I138" s="91">
        <v>68.767172335543137</v>
      </c>
      <c r="J138" s="92">
        <f>ROUND(I138*H138,2)</f>
        <v>1095.46</v>
      </c>
      <c r="K138" s="88" t="s">
        <v>82</v>
      </c>
      <c r="L138" s="16"/>
      <c r="M138" s="93" t="s">
        <v>0</v>
      </c>
      <c r="N138" s="94" t="s">
        <v>27</v>
      </c>
      <c r="O138" s="27"/>
      <c r="P138" s="95">
        <f>O138*H138</f>
        <v>0</v>
      </c>
      <c r="Q138" s="95">
        <v>0</v>
      </c>
      <c r="R138" s="95">
        <f>Q138*H138</f>
        <v>0</v>
      </c>
      <c r="S138" s="95">
        <v>0.57999999999999996</v>
      </c>
      <c r="T138" s="96">
        <f>S138*H138</f>
        <v>9.2393999999999998</v>
      </c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R138" s="97" t="s">
        <v>83</v>
      </c>
      <c r="AT138" s="97" t="s">
        <v>78</v>
      </c>
      <c r="AU138" s="97" t="s">
        <v>47</v>
      </c>
      <c r="AY138" s="10" t="s">
        <v>75</v>
      </c>
      <c r="BE138" s="98">
        <f>IF(N138="základní",J138,0)</f>
        <v>1095.46</v>
      </c>
      <c r="BF138" s="98">
        <f>IF(N138="snížená",J138,0)</f>
        <v>0</v>
      </c>
      <c r="BG138" s="98">
        <f>IF(N138="zákl. přenesená",J138,0)</f>
        <v>0</v>
      </c>
      <c r="BH138" s="98">
        <f>IF(N138="sníž. přenesená",J138,0)</f>
        <v>0</v>
      </c>
      <c r="BI138" s="98">
        <f>IF(N138="nulová",J138,0)</f>
        <v>0</v>
      </c>
      <c r="BJ138" s="10" t="s">
        <v>46</v>
      </c>
      <c r="BK138" s="98">
        <f>ROUND(I138*H138,2)</f>
        <v>1095.46</v>
      </c>
      <c r="BL138" s="10" t="s">
        <v>83</v>
      </c>
      <c r="BM138" s="97" t="s">
        <v>214</v>
      </c>
    </row>
    <row r="139" spans="1:65" s="1" customFormat="1" ht="39" x14ac:dyDescent="0.2">
      <c r="A139" s="156"/>
      <c r="B139" s="16"/>
      <c r="C139" s="156"/>
      <c r="D139" s="99" t="s">
        <v>84</v>
      </c>
      <c r="E139" s="156"/>
      <c r="F139" s="100" t="s">
        <v>148</v>
      </c>
      <c r="G139" s="156"/>
      <c r="H139" s="156"/>
      <c r="I139" s="101"/>
      <c r="J139" s="156"/>
      <c r="K139" s="156"/>
      <c r="L139" s="16"/>
      <c r="M139" s="102"/>
      <c r="N139" s="103"/>
      <c r="O139" s="27"/>
      <c r="P139" s="27"/>
      <c r="Q139" s="27"/>
      <c r="R139" s="27"/>
      <c r="S139" s="27"/>
      <c r="T139" s="28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T139" s="10" t="s">
        <v>84</v>
      </c>
      <c r="AU139" s="10" t="s">
        <v>47</v>
      </c>
    </row>
    <row r="140" spans="1:65" s="1" customFormat="1" ht="24.2" customHeight="1" x14ac:dyDescent="0.2">
      <c r="A140" s="156"/>
      <c r="B140" s="85"/>
      <c r="C140" s="86" t="s">
        <v>48</v>
      </c>
      <c r="D140" s="86" t="s">
        <v>78</v>
      </c>
      <c r="E140" s="87" t="s">
        <v>151</v>
      </c>
      <c r="F140" s="88" t="s">
        <v>215</v>
      </c>
      <c r="G140" s="89" t="s">
        <v>100</v>
      </c>
      <c r="H140" s="90">
        <v>15.93</v>
      </c>
      <c r="I140" s="91">
        <v>27.886826761540966</v>
      </c>
      <c r="J140" s="92">
        <f>ROUND(I140*H140,2)</f>
        <v>444.24</v>
      </c>
      <c r="K140" s="88" t="s">
        <v>82</v>
      </c>
      <c r="L140" s="16"/>
      <c r="M140" s="93" t="s">
        <v>0</v>
      </c>
      <c r="N140" s="94" t="s">
        <v>27</v>
      </c>
      <c r="O140" s="27"/>
      <c r="P140" s="95">
        <f>O140*H140</f>
        <v>0</v>
      </c>
      <c r="Q140" s="95">
        <v>0</v>
      </c>
      <c r="R140" s="95">
        <f>Q140*H140</f>
        <v>0</v>
      </c>
      <c r="S140" s="95">
        <v>9.8000000000000004E-2</v>
      </c>
      <c r="T140" s="96">
        <f>S140*H140</f>
        <v>1.56114</v>
      </c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R140" s="97" t="s">
        <v>83</v>
      </c>
      <c r="AT140" s="97" t="s">
        <v>78</v>
      </c>
      <c r="AU140" s="97" t="s">
        <v>47</v>
      </c>
      <c r="AY140" s="10" t="s">
        <v>75</v>
      </c>
      <c r="BE140" s="98">
        <f>IF(N140="základní",J140,0)</f>
        <v>444.24</v>
      </c>
      <c r="BF140" s="98">
        <f>IF(N140="snížená",J140,0)</f>
        <v>0</v>
      </c>
      <c r="BG140" s="98">
        <f>IF(N140="zákl. přenesená",J140,0)</f>
        <v>0</v>
      </c>
      <c r="BH140" s="98">
        <f>IF(N140="sníž. přenesená",J140,0)</f>
        <v>0</v>
      </c>
      <c r="BI140" s="98">
        <f>IF(N140="nulová",J140,0)</f>
        <v>0</v>
      </c>
      <c r="BJ140" s="10" t="s">
        <v>46</v>
      </c>
      <c r="BK140" s="98">
        <f>ROUND(I140*H140,2)</f>
        <v>444.24</v>
      </c>
      <c r="BL140" s="10" t="s">
        <v>83</v>
      </c>
      <c r="BM140" s="97" t="s">
        <v>216</v>
      </c>
    </row>
    <row r="141" spans="1:65" s="1" customFormat="1" ht="29.25" x14ac:dyDescent="0.2">
      <c r="A141" s="156"/>
      <c r="B141" s="16"/>
      <c r="C141" s="156"/>
      <c r="D141" s="99" t="s">
        <v>84</v>
      </c>
      <c r="E141" s="156"/>
      <c r="F141" s="100" t="s">
        <v>152</v>
      </c>
      <c r="G141" s="156"/>
      <c r="H141" s="156"/>
      <c r="I141" s="101"/>
      <c r="J141" s="156"/>
      <c r="K141" s="156"/>
      <c r="L141" s="16"/>
      <c r="M141" s="102"/>
      <c r="N141" s="103"/>
      <c r="O141" s="27"/>
      <c r="P141" s="27"/>
      <c r="Q141" s="27"/>
      <c r="R141" s="27"/>
      <c r="S141" s="27"/>
      <c r="T141" s="28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T141" s="10" t="s">
        <v>84</v>
      </c>
      <c r="AU141" s="10" t="s">
        <v>47</v>
      </c>
    </row>
    <row r="142" spans="1:65" s="1" customFormat="1" ht="29.25" x14ac:dyDescent="0.2">
      <c r="A142" s="156"/>
      <c r="B142" s="16"/>
      <c r="C142" s="156"/>
      <c r="D142" s="99" t="s">
        <v>86</v>
      </c>
      <c r="E142" s="156"/>
      <c r="F142" s="104" t="s">
        <v>217</v>
      </c>
      <c r="G142" s="156"/>
      <c r="H142" s="156"/>
      <c r="I142" s="101"/>
      <c r="J142" s="156"/>
      <c r="K142" s="156"/>
      <c r="L142" s="16"/>
      <c r="M142" s="102"/>
      <c r="N142" s="103"/>
      <c r="O142" s="27"/>
      <c r="P142" s="27"/>
      <c r="Q142" s="27"/>
      <c r="R142" s="27"/>
      <c r="S142" s="27"/>
      <c r="T142" s="28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T142" s="10" t="s">
        <v>86</v>
      </c>
      <c r="AU142" s="10" t="s">
        <v>47</v>
      </c>
    </row>
    <row r="143" spans="1:65" s="1" customFormat="1" ht="24.2" customHeight="1" x14ac:dyDescent="0.2">
      <c r="A143" s="156"/>
      <c r="B143" s="85"/>
      <c r="C143" s="86" t="s">
        <v>83</v>
      </c>
      <c r="D143" s="86" t="s">
        <v>78</v>
      </c>
      <c r="E143" s="87" t="s">
        <v>218</v>
      </c>
      <c r="F143" s="88" t="s">
        <v>219</v>
      </c>
      <c r="G143" s="89" t="s">
        <v>100</v>
      </c>
      <c r="H143" s="90">
        <v>1.77</v>
      </c>
      <c r="I143" s="91">
        <v>23.091823190584471</v>
      </c>
      <c r="J143" s="92">
        <f>ROUND(I143*H143,2)</f>
        <v>40.869999999999997</v>
      </c>
      <c r="K143" s="88" t="s">
        <v>82</v>
      </c>
      <c r="L143" s="16"/>
      <c r="M143" s="93" t="s">
        <v>0</v>
      </c>
      <c r="N143" s="94" t="s">
        <v>27</v>
      </c>
      <c r="O143" s="27"/>
      <c r="P143" s="95">
        <f>O143*H143</f>
        <v>0</v>
      </c>
      <c r="Q143" s="95">
        <v>0</v>
      </c>
      <c r="R143" s="95">
        <f>Q143*H143</f>
        <v>0</v>
      </c>
      <c r="S143" s="95">
        <v>0</v>
      </c>
      <c r="T143" s="96">
        <f>S143*H143</f>
        <v>0</v>
      </c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R143" s="97" t="s">
        <v>83</v>
      </c>
      <c r="AT143" s="97" t="s">
        <v>78</v>
      </c>
      <c r="AU143" s="97" t="s">
        <v>47</v>
      </c>
      <c r="AY143" s="10" t="s">
        <v>75</v>
      </c>
      <c r="BE143" s="98">
        <f>IF(N143="základní",J143,0)</f>
        <v>40.869999999999997</v>
      </c>
      <c r="BF143" s="98">
        <f>IF(N143="snížená",J143,0)</f>
        <v>0</v>
      </c>
      <c r="BG143" s="98">
        <f>IF(N143="zákl. přenesená",J143,0)</f>
        <v>0</v>
      </c>
      <c r="BH143" s="98">
        <f>IF(N143="sníž. přenesená",J143,0)</f>
        <v>0</v>
      </c>
      <c r="BI143" s="98">
        <f>IF(N143="nulová",J143,0)</f>
        <v>0</v>
      </c>
      <c r="BJ143" s="10" t="s">
        <v>46</v>
      </c>
      <c r="BK143" s="98">
        <f>ROUND(I143*H143,2)</f>
        <v>40.869999999999997</v>
      </c>
      <c r="BL143" s="10" t="s">
        <v>83</v>
      </c>
      <c r="BM143" s="97" t="s">
        <v>220</v>
      </c>
    </row>
    <row r="144" spans="1:65" s="1" customFormat="1" ht="19.5" x14ac:dyDescent="0.2">
      <c r="A144" s="156"/>
      <c r="B144" s="16"/>
      <c r="C144" s="156"/>
      <c r="D144" s="99" t="s">
        <v>84</v>
      </c>
      <c r="E144" s="156"/>
      <c r="F144" s="100" t="s">
        <v>221</v>
      </c>
      <c r="G144" s="156"/>
      <c r="H144" s="156"/>
      <c r="I144" s="101"/>
      <c r="J144" s="156"/>
      <c r="K144" s="156"/>
      <c r="L144" s="16"/>
      <c r="M144" s="102"/>
      <c r="N144" s="103"/>
      <c r="O144" s="27"/>
      <c r="P144" s="27"/>
      <c r="Q144" s="27"/>
      <c r="R144" s="27"/>
      <c r="S144" s="27"/>
      <c r="T144" s="28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T144" s="10" t="s">
        <v>84</v>
      </c>
      <c r="AU144" s="10" t="s">
        <v>47</v>
      </c>
    </row>
    <row r="145" spans="1:65" s="1" customFormat="1" ht="29.25" x14ac:dyDescent="0.2">
      <c r="A145" s="156"/>
      <c r="B145" s="16"/>
      <c r="C145" s="156"/>
      <c r="D145" s="99" t="s">
        <v>86</v>
      </c>
      <c r="E145" s="156"/>
      <c r="F145" s="104" t="s">
        <v>217</v>
      </c>
      <c r="G145" s="156"/>
      <c r="H145" s="156"/>
      <c r="I145" s="101"/>
      <c r="J145" s="156"/>
      <c r="K145" s="156"/>
      <c r="L145" s="16"/>
      <c r="M145" s="102"/>
      <c r="N145" s="103"/>
      <c r="O145" s="27"/>
      <c r="P145" s="27"/>
      <c r="Q145" s="27"/>
      <c r="R145" s="27"/>
      <c r="S145" s="27"/>
      <c r="T145" s="28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T145" s="10" t="s">
        <v>86</v>
      </c>
      <c r="AU145" s="10" t="s">
        <v>47</v>
      </c>
    </row>
    <row r="146" spans="1:65" s="6" customFormat="1" x14ac:dyDescent="0.2">
      <c r="B146" s="105"/>
      <c r="D146" s="99" t="s">
        <v>87</v>
      </c>
      <c r="E146" s="106" t="s">
        <v>0</v>
      </c>
      <c r="F146" s="107" t="s">
        <v>222</v>
      </c>
      <c r="H146" s="106" t="s">
        <v>0</v>
      </c>
      <c r="I146" s="108"/>
      <c r="L146" s="105"/>
      <c r="M146" s="109"/>
      <c r="N146" s="110"/>
      <c r="O146" s="110"/>
      <c r="P146" s="110"/>
      <c r="Q146" s="110"/>
      <c r="R146" s="110"/>
      <c r="S146" s="110"/>
      <c r="T146" s="111"/>
      <c r="AT146" s="106" t="s">
        <v>87</v>
      </c>
      <c r="AU146" s="106" t="s">
        <v>47</v>
      </c>
      <c r="AV146" s="6" t="s">
        <v>46</v>
      </c>
      <c r="AW146" s="6" t="s">
        <v>19</v>
      </c>
      <c r="AX146" s="6" t="s">
        <v>45</v>
      </c>
      <c r="AY146" s="106" t="s">
        <v>75</v>
      </c>
    </row>
    <row r="147" spans="1:65" s="7" customFormat="1" x14ac:dyDescent="0.2">
      <c r="B147" s="112"/>
      <c r="D147" s="99" t="s">
        <v>87</v>
      </c>
      <c r="E147" s="113" t="s">
        <v>0</v>
      </c>
      <c r="F147" s="114" t="s">
        <v>443</v>
      </c>
      <c r="H147" s="115">
        <f>17.7*0.1</f>
        <v>1.77</v>
      </c>
      <c r="I147" s="116"/>
      <c r="L147" s="112"/>
      <c r="M147" s="117"/>
      <c r="N147" s="118"/>
      <c r="O147" s="118"/>
      <c r="P147" s="118"/>
      <c r="Q147" s="118"/>
      <c r="R147" s="118"/>
      <c r="S147" s="118"/>
      <c r="T147" s="119"/>
      <c r="AT147" s="113" t="s">
        <v>87</v>
      </c>
      <c r="AU147" s="113" t="s">
        <v>47</v>
      </c>
      <c r="AV147" s="7" t="s">
        <v>47</v>
      </c>
      <c r="AW147" s="7" t="s">
        <v>19</v>
      </c>
      <c r="AX147" s="7" t="s">
        <v>46</v>
      </c>
      <c r="AY147" s="113" t="s">
        <v>75</v>
      </c>
    </row>
    <row r="148" spans="1:65" s="1" customFormat="1" ht="24.2" customHeight="1" x14ac:dyDescent="0.2">
      <c r="A148" s="156"/>
      <c r="B148" s="85"/>
      <c r="C148" s="86" t="s">
        <v>223</v>
      </c>
      <c r="D148" s="86" t="s">
        <v>78</v>
      </c>
      <c r="E148" s="87" t="s">
        <v>79</v>
      </c>
      <c r="F148" s="88" t="s">
        <v>80</v>
      </c>
      <c r="G148" s="89" t="s">
        <v>81</v>
      </c>
      <c r="H148" s="90">
        <v>14.82</v>
      </c>
      <c r="I148" s="91">
        <v>285.201942457955</v>
      </c>
      <c r="J148" s="92">
        <f>ROUND(I148*H148,2)</f>
        <v>4226.6899999999996</v>
      </c>
      <c r="K148" s="88" t="s">
        <v>82</v>
      </c>
      <c r="L148" s="16"/>
      <c r="M148" s="93" t="s">
        <v>0</v>
      </c>
      <c r="N148" s="94" t="s">
        <v>27</v>
      </c>
      <c r="O148" s="27"/>
      <c r="P148" s="95">
        <f>O148*H148</f>
        <v>0</v>
      </c>
      <c r="Q148" s="95">
        <v>0</v>
      </c>
      <c r="R148" s="95">
        <f>Q148*H148</f>
        <v>0</v>
      </c>
      <c r="S148" s="95">
        <v>0</v>
      </c>
      <c r="T148" s="96">
        <f>S148*H148</f>
        <v>0</v>
      </c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R148" s="97" t="s">
        <v>83</v>
      </c>
      <c r="AT148" s="97" t="s">
        <v>78</v>
      </c>
      <c r="AU148" s="97" t="s">
        <v>47</v>
      </c>
      <c r="AY148" s="10" t="s">
        <v>75</v>
      </c>
      <c r="BE148" s="98">
        <f>IF(N148="základní",J148,0)</f>
        <v>4226.6899999999996</v>
      </c>
      <c r="BF148" s="98">
        <f>IF(N148="snížená",J148,0)</f>
        <v>0</v>
      </c>
      <c r="BG148" s="98">
        <f>IF(N148="zákl. přenesená",J148,0)</f>
        <v>0</v>
      </c>
      <c r="BH148" s="98">
        <f>IF(N148="sníž. přenesená",J148,0)</f>
        <v>0</v>
      </c>
      <c r="BI148" s="98">
        <f>IF(N148="nulová",J148,0)</f>
        <v>0</v>
      </c>
      <c r="BJ148" s="10" t="s">
        <v>46</v>
      </c>
      <c r="BK148" s="98">
        <f>ROUND(I148*H148,2)</f>
        <v>4226.6899999999996</v>
      </c>
      <c r="BL148" s="10" t="s">
        <v>83</v>
      </c>
      <c r="BM148" s="97" t="s">
        <v>224</v>
      </c>
    </row>
    <row r="149" spans="1:65" s="1" customFormat="1" ht="39" x14ac:dyDescent="0.2">
      <c r="A149" s="156"/>
      <c r="B149" s="16"/>
      <c r="C149" s="156"/>
      <c r="D149" s="99" t="s">
        <v>84</v>
      </c>
      <c r="E149" s="156"/>
      <c r="F149" s="100" t="s">
        <v>85</v>
      </c>
      <c r="G149" s="156"/>
      <c r="H149" s="156"/>
      <c r="I149" s="101"/>
      <c r="J149" s="156"/>
      <c r="K149" s="156"/>
      <c r="L149" s="16"/>
      <c r="M149" s="102"/>
      <c r="N149" s="103"/>
      <c r="O149" s="27"/>
      <c r="P149" s="27"/>
      <c r="Q149" s="27"/>
      <c r="R149" s="27"/>
      <c r="S149" s="27"/>
      <c r="T149" s="28"/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T149" s="10" t="s">
        <v>84</v>
      </c>
      <c r="AU149" s="10" t="s">
        <v>47</v>
      </c>
    </row>
    <row r="150" spans="1:65" s="1" customFormat="1" ht="39" x14ac:dyDescent="0.2">
      <c r="A150" s="156"/>
      <c r="B150" s="16"/>
      <c r="C150" s="156"/>
      <c r="D150" s="99" t="s">
        <v>86</v>
      </c>
      <c r="E150" s="156"/>
      <c r="F150" s="104" t="s">
        <v>225</v>
      </c>
      <c r="G150" s="156"/>
      <c r="H150" s="156"/>
      <c r="I150" s="101"/>
      <c r="J150" s="156"/>
      <c r="K150" s="156"/>
      <c r="L150" s="16"/>
      <c r="M150" s="102"/>
      <c r="N150" s="103"/>
      <c r="O150" s="27"/>
      <c r="P150" s="27"/>
      <c r="Q150" s="27"/>
      <c r="R150" s="27"/>
      <c r="S150" s="27"/>
      <c r="T150" s="28"/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T150" s="10" t="s">
        <v>86</v>
      </c>
      <c r="AU150" s="10" t="s">
        <v>47</v>
      </c>
    </row>
    <row r="151" spans="1:65" s="6" customFormat="1" ht="22.5" x14ac:dyDescent="0.2">
      <c r="B151" s="105"/>
      <c r="D151" s="99" t="s">
        <v>87</v>
      </c>
      <c r="E151" s="106" t="s">
        <v>0</v>
      </c>
      <c r="F151" s="107" t="s">
        <v>226</v>
      </c>
      <c r="H151" s="106" t="s">
        <v>0</v>
      </c>
      <c r="I151" s="108"/>
      <c r="L151" s="105"/>
      <c r="M151" s="109"/>
      <c r="N151" s="110"/>
      <c r="O151" s="110"/>
      <c r="P151" s="110"/>
      <c r="Q151" s="110"/>
      <c r="R151" s="110"/>
      <c r="S151" s="110"/>
      <c r="T151" s="111"/>
      <c r="AT151" s="106" t="s">
        <v>87</v>
      </c>
      <c r="AU151" s="106" t="s">
        <v>47</v>
      </c>
      <c r="AV151" s="6" t="s">
        <v>46</v>
      </c>
      <c r="AW151" s="6" t="s">
        <v>19</v>
      </c>
      <c r="AX151" s="6" t="s">
        <v>45</v>
      </c>
      <c r="AY151" s="106" t="s">
        <v>75</v>
      </c>
    </row>
    <row r="152" spans="1:65" s="7" customFormat="1" x14ac:dyDescent="0.2">
      <c r="B152" s="112"/>
      <c r="D152" s="99" t="s">
        <v>87</v>
      </c>
      <c r="E152" s="113" t="s">
        <v>0</v>
      </c>
      <c r="F152" s="114" t="s">
        <v>426</v>
      </c>
      <c r="H152" s="115">
        <f>17.7*1*(2.2-0.45)*0.9</f>
        <v>27.877500000000001</v>
      </c>
      <c r="I152" s="116"/>
      <c r="L152" s="112"/>
      <c r="M152" s="117"/>
      <c r="N152" s="118"/>
      <c r="O152" s="118"/>
      <c r="P152" s="118"/>
      <c r="Q152" s="118"/>
      <c r="R152" s="118"/>
      <c r="S152" s="118"/>
      <c r="T152" s="119"/>
      <c r="AT152" s="113" t="s">
        <v>87</v>
      </c>
      <c r="AU152" s="113" t="s">
        <v>47</v>
      </c>
      <c r="AV152" s="7" t="s">
        <v>47</v>
      </c>
      <c r="AW152" s="7" t="s">
        <v>19</v>
      </c>
      <c r="AX152" s="7" t="s">
        <v>45</v>
      </c>
      <c r="AY152" s="113" t="s">
        <v>75</v>
      </c>
    </row>
    <row r="153" spans="1:65" s="7" customFormat="1" ht="22.5" x14ac:dyDescent="0.2">
      <c r="B153" s="112"/>
      <c r="D153" s="99" t="s">
        <v>87</v>
      </c>
      <c r="E153" s="113" t="s">
        <v>0</v>
      </c>
      <c r="F153" s="114" t="s">
        <v>227</v>
      </c>
      <c r="H153" s="115">
        <f>1.5*1.5*(2.4-0.45)*1-1.5*1*(2.2-0.45)*1</f>
        <v>1.7624999999999997</v>
      </c>
      <c r="I153" s="116"/>
      <c r="L153" s="112"/>
      <c r="M153" s="117"/>
      <c r="N153" s="118"/>
      <c r="O153" s="118"/>
      <c r="P153" s="118"/>
      <c r="Q153" s="118"/>
      <c r="R153" s="118"/>
      <c r="S153" s="118"/>
      <c r="T153" s="119"/>
      <c r="AT153" s="113" t="s">
        <v>87</v>
      </c>
      <c r="AU153" s="113" t="s">
        <v>47</v>
      </c>
      <c r="AV153" s="7" t="s">
        <v>47</v>
      </c>
      <c r="AW153" s="7" t="s">
        <v>19</v>
      </c>
      <c r="AX153" s="7" t="s">
        <v>45</v>
      </c>
      <c r="AY153" s="113" t="s">
        <v>75</v>
      </c>
    </row>
    <row r="154" spans="1:65" s="8" customFormat="1" x14ac:dyDescent="0.2">
      <c r="B154" s="120"/>
      <c r="D154" s="99" t="s">
        <v>87</v>
      </c>
      <c r="E154" s="121" t="s">
        <v>0</v>
      </c>
      <c r="F154" s="122" t="s">
        <v>88</v>
      </c>
      <c r="H154" s="123">
        <f>H152+H153</f>
        <v>29.64</v>
      </c>
      <c r="I154" s="124"/>
      <c r="L154" s="120"/>
      <c r="M154" s="125"/>
      <c r="N154" s="126"/>
      <c r="O154" s="126"/>
      <c r="P154" s="126"/>
      <c r="Q154" s="126"/>
      <c r="R154" s="126"/>
      <c r="S154" s="126"/>
      <c r="T154" s="127"/>
      <c r="AT154" s="121" t="s">
        <v>87</v>
      </c>
      <c r="AU154" s="121" t="s">
        <v>47</v>
      </c>
      <c r="AV154" s="8" t="s">
        <v>48</v>
      </c>
      <c r="AW154" s="8" t="s">
        <v>19</v>
      </c>
      <c r="AX154" s="8" t="s">
        <v>45</v>
      </c>
      <c r="AY154" s="121" t="s">
        <v>75</v>
      </c>
    </row>
    <row r="155" spans="1:65" s="7" customFormat="1" x14ac:dyDescent="0.2">
      <c r="B155" s="112"/>
      <c r="D155" s="99" t="s">
        <v>87</v>
      </c>
      <c r="E155" s="113" t="s">
        <v>0</v>
      </c>
      <c r="F155" s="114" t="s">
        <v>427</v>
      </c>
      <c r="H155" s="115">
        <f>H154*0.5</f>
        <v>14.82</v>
      </c>
      <c r="I155" s="116"/>
      <c r="L155" s="112"/>
      <c r="M155" s="117"/>
      <c r="N155" s="118"/>
      <c r="O155" s="118"/>
      <c r="P155" s="118"/>
      <c r="Q155" s="118"/>
      <c r="R155" s="118"/>
      <c r="S155" s="118"/>
      <c r="T155" s="119"/>
      <c r="AT155" s="113" t="s">
        <v>87</v>
      </c>
      <c r="AU155" s="113" t="s">
        <v>47</v>
      </c>
      <c r="AV155" s="7" t="s">
        <v>47</v>
      </c>
      <c r="AW155" s="7" t="s">
        <v>19</v>
      </c>
      <c r="AX155" s="7" t="s">
        <v>46</v>
      </c>
      <c r="AY155" s="113" t="s">
        <v>75</v>
      </c>
    </row>
    <row r="156" spans="1:65" s="1" customFormat="1" ht="24.2" customHeight="1" x14ac:dyDescent="0.2">
      <c r="A156" s="156"/>
      <c r="B156" s="85"/>
      <c r="C156" s="86" t="s">
        <v>228</v>
      </c>
      <c r="D156" s="86" t="s">
        <v>78</v>
      </c>
      <c r="E156" s="87" t="s">
        <v>90</v>
      </c>
      <c r="F156" s="88" t="s">
        <v>91</v>
      </c>
      <c r="G156" s="89" t="s">
        <v>81</v>
      </c>
      <c r="H156" s="90">
        <v>14.82</v>
      </c>
      <c r="I156" s="91">
        <v>390.55963566140201</v>
      </c>
      <c r="J156" s="92">
        <f>ROUND(I156*H156,2)</f>
        <v>5788.09</v>
      </c>
      <c r="K156" s="88" t="s">
        <v>82</v>
      </c>
      <c r="L156" s="16"/>
      <c r="M156" s="93" t="s">
        <v>0</v>
      </c>
      <c r="N156" s="94" t="s">
        <v>27</v>
      </c>
      <c r="O156" s="27"/>
      <c r="P156" s="95">
        <f>O156*H156</f>
        <v>0</v>
      </c>
      <c r="Q156" s="95">
        <v>0</v>
      </c>
      <c r="R156" s="95">
        <f>Q156*H156</f>
        <v>0</v>
      </c>
      <c r="S156" s="95">
        <v>0</v>
      </c>
      <c r="T156" s="96">
        <f>S156*H156</f>
        <v>0</v>
      </c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R156" s="97" t="s">
        <v>83</v>
      </c>
      <c r="AT156" s="97" t="s">
        <v>78</v>
      </c>
      <c r="AU156" s="97" t="s">
        <v>47</v>
      </c>
      <c r="AY156" s="10" t="s">
        <v>75</v>
      </c>
      <c r="BE156" s="98">
        <f>IF(N156="základní",J156,0)</f>
        <v>5788.09</v>
      </c>
      <c r="BF156" s="98">
        <f>IF(N156="snížená",J156,0)</f>
        <v>0</v>
      </c>
      <c r="BG156" s="98">
        <f>IF(N156="zákl. přenesená",J156,0)</f>
        <v>0</v>
      </c>
      <c r="BH156" s="98">
        <f>IF(N156="sníž. přenesená",J156,0)</f>
        <v>0</v>
      </c>
      <c r="BI156" s="98">
        <f>IF(N156="nulová",J156,0)</f>
        <v>0</v>
      </c>
      <c r="BJ156" s="10" t="s">
        <v>46</v>
      </c>
      <c r="BK156" s="98">
        <f>ROUND(I156*H156,2)</f>
        <v>5788.09</v>
      </c>
      <c r="BL156" s="10" t="s">
        <v>83</v>
      </c>
      <c r="BM156" s="97" t="s">
        <v>229</v>
      </c>
    </row>
    <row r="157" spans="1:65" s="1" customFormat="1" ht="39" x14ac:dyDescent="0.2">
      <c r="A157" s="156"/>
      <c r="B157" s="16"/>
      <c r="C157" s="156"/>
      <c r="D157" s="99" t="s">
        <v>84</v>
      </c>
      <c r="E157" s="156"/>
      <c r="F157" s="100" t="s">
        <v>92</v>
      </c>
      <c r="G157" s="156"/>
      <c r="H157" s="156"/>
      <c r="I157" s="101"/>
      <c r="J157" s="156"/>
      <c r="K157" s="156"/>
      <c r="L157" s="16"/>
      <c r="M157" s="102"/>
      <c r="N157" s="103"/>
      <c r="O157" s="27"/>
      <c r="P157" s="27"/>
      <c r="Q157" s="27"/>
      <c r="R157" s="27"/>
      <c r="S157" s="27"/>
      <c r="T157" s="28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T157" s="10" t="s">
        <v>84</v>
      </c>
      <c r="AU157" s="10" t="s">
        <v>47</v>
      </c>
    </row>
    <row r="158" spans="1:65" s="1" customFormat="1" ht="39" x14ac:dyDescent="0.2">
      <c r="A158" s="156"/>
      <c r="B158" s="16"/>
      <c r="C158" s="156"/>
      <c r="D158" s="99" t="s">
        <v>86</v>
      </c>
      <c r="E158" s="156"/>
      <c r="F158" s="104" t="s">
        <v>225</v>
      </c>
      <c r="G158" s="156"/>
      <c r="H158" s="156"/>
      <c r="I158" s="101"/>
      <c r="J158" s="156"/>
      <c r="K158" s="156"/>
      <c r="L158" s="16"/>
      <c r="M158" s="102"/>
      <c r="N158" s="103"/>
      <c r="O158" s="27"/>
      <c r="P158" s="27"/>
      <c r="Q158" s="27"/>
      <c r="R158" s="27"/>
      <c r="S158" s="27"/>
      <c r="T158" s="28"/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T158" s="10" t="s">
        <v>86</v>
      </c>
      <c r="AU158" s="10" t="s">
        <v>47</v>
      </c>
    </row>
    <row r="159" spans="1:65" s="1" customFormat="1" ht="24.2" customHeight="1" x14ac:dyDescent="0.2">
      <c r="A159" s="156"/>
      <c r="B159" s="85"/>
      <c r="C159" s="86" t="s">
        <v>230</v>
      </c>
      <c r="D159" s="86" t="s">
        <v>78</v>
      </c>
      <c r="E159" s="87" t="s">
        <v>94</v>
      </c>
      <c r="F159" s="88" t="s">
        <v>95</v>
      </c>
      <c r="G159" s="89" t="s">
        <v>81</v>
      </c>
      <c r="H159" s="90">
        <v>5.9279999999999999</v>
      </c>
      <c r="I159" s="91">
        <v>650.27058629099099</v>
      </c>
      <c r="J159" s="92">
        <f>ROUND(I159*H159,2)</f>
        <v>3854.8</v>
      </c>
      <c r="K159" s="88" t="s">
        <v>82</v>
      </c>
      <c r="L159" s="16"/>
      <c r="M159" s="93" t="s">
        <v>0</v>
      </c>
      <c r="N159" s="94" t="s">
        <v>27</v>
      </c>
      <c r="O159" s="27"/>
      <c r="P159" s="95">
        <f>O159*H159</f>
        <v>0</v>
      </c>
      <c r="Q159" s="95">
        <v>0</v>
      </c>
      <c r="R159" s="95">
        <f>Q159*H159</f>
        <v>0</v>
      </c>
      <c r="S159" s="95">
        <v>0</v>
      </c>
      <c r="T159" s="96">
        <f>S159*H159</f>
        <v>0</v>
      </c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R159" s="97" t="s">
        <v>83</v>
      </c>
      <c r="AT159" s="97" t="s">
        <v>78</v>
      </c>
      <c r="AU159" s="97" t="s">
        <v>47</v>
      </c>
      <c r="AY159" s="10" t="s">
        <v>75</v>
      </c>
      <c r="BE159" s="98">
        <f>IF(N159="základní",J159,0)</f>
        <v>3854.8</v>
      </c>
      <c r="BF159" s="98">
        <f>IF(N159="snížená",J159,0)</f>
        <v>0</v>
      </c>
      <c r="BG159" s="98">
        <f>IF(N159="zákl. přenesená",J159,0)</f>
        <v>0</v>
      </c>
      <c r="BH159" s="98">
        <f>IF(N159="sníž. přenesená",J159,0)</f>
        <v>0</v>
      </c>
      <c r="BI159" s="98">
        <f>IF(N159="nulová",J159,0)</f>
        <v>0</v>
      </c>
      <c r="BJ159" s="10" t="s">
        <v>46</v>
      </c>
      <c r="BK159" s="98">
        <f>ROUND(I159*H159,2)</f>
        <v>3854.8</v>
      </c>
      <c r="BL159" s="10" t="s">
        <v>83</v>
      </c>
      <c r="BM159" s="97" t="s">
        <v>231</v>
      </c>
    </row>
    <row r="160" spans="1:65" s="1" customFormat="1" ht="29.25" x14ac:dyDescent="0.2">
      <c r="A160" s="156"/>
      <c r="B160" s="16"/>
      <c r="C160" s="156"/>
      <c r="D160" s="99" t="s">
        <v>84</v>
      </c>
      <c r="E160" s="156"/>
      <c r="F160" s="100" t="s">
        <v>96</v>
      </c>
      <c r="G160" s="156"/>
      <c r="H160" s="156"/>
      <c r="I160" s="101"/>
      <c r="J160" s="156"/>
      <c r="K160" s="156"/>
      <c r="L160" s="16"/>
      <c r="M160" s="102"/>
      <c r="N160" s="103"/>
      <c r="O160" s="27"/>
      <c r="P160" s="27"/>
      <c r="Q160" s="27"/>
      <c r="R160" s="27"/>
      <c r="S160" s="27"/>
      <c r="T160" s="28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T160" s="10" t="s">
        <v>84</v>
      </c>
      <c r="AU160" s="10" t="s">
        <v>47</v>
      </c>
    </row>
    <row r="161" spans="1:65" s="6" customFormat="1" x14ac:dyDescent="0.2">
      <c r="B161" s="105"/>
      <c r="D161" s="99" t="s">
        <v>87</v>
      </c>
      <c r="E161" s="106" t="s">
        <v>0</v>
      </c>
      <c r="F161" s="107" t="s">
        <v>97</v>
      </c>
      <c r="H161" s="106" t="s">
        <v>0</v>
      </c>
      <c r="I161" s="108"/>
      <c r="L161" s="105"/>
      <c r="M161" s="109"/>
      <c r="N161" s="110"/>
      <c r="O161" s="110"/>
      <c r="P161" s="110"/>
      <c r="Q161" s="110"/>
      <c r="R161" s="110"/>
      <c r="S161" s="110"/>
      <c r="T161" s="111"/>
      <c r="AT161" s="106" t="s">
        <v>87</v>
      </c>
      <c r="AU161" s="106" t="s">
        <v>47</v>
      </c>
      <c r="AV161" s="6" t="s">
        <v>46</v>
      </c>
      <c r="AW161" s="6" t="s">
        <v>19</v>
      </c>
      <c r="AX161" s="6" t="s">
        <v>45</v>
      </c>
      <c r="AY161" s="106" t="s">
        <v>75</v>
      </c>
    </row>
    <row r="162" spans="1:65" s="7" customFormat="1" x14ac:dyDescent="0.2">
      <c r="B162" s="112"/>
      <c r="D162" s="99" t="s">
        <v>87</v>
      </c>
      <c r="E162" s="113" t="s">
        <v>0</v>
      </c>
      <c r="F162" s="114" t="s">
        <v>428</v>
      </c>
      <c r="H162" s="115">
        <f>(14.82+14.82)*0.2</f>
        <v>5.9280000000000008</v>
      </c>
      <c r="I162" s="116"/>
      <c r="L162" s="112"/>
      <c r="M162" s="117"/>
      <c r="N162" s="118"/>
      <c r="O162" s="118"/>
      <c r="P162" s="118"/>
      <c r="Q162" s="118"/>
      <c r="R162" s="118"/>
      <c r="S162" s="118"/>
      <c r="T162" s="119"/>
      <c r="AT162" s="113" t="s">
        <v>87</v>
      </c>
      <c r="AU162" s="113" t="s">
        <v>47</v>
      </c>
      <c r="AV162" s="7" t="s">
        <v>47</v>
      </c>
      <c r="AW162" s="7" t="s">
        <v>19</v>
      </c>
      <c r="AX162" s="7" t="s">
        <v>46</v>
      </c>
      <c r="AY162" s="113" t="s">
        <v>75</v>
      </c>
    </row>
    <row r="163" spans="1:65" s="1" customFormat="1" ht="14.45" customHeight="1" x14ac:dyDescent="0.2">
      <c r="A163" s="156"/>
      <c r="B163" s="85"/>
      <c r="C163" s="86" t="s">
        <v>129</v>
      </c>
      <c r="D163" s="86" t="s">
        <v>78</v>
      </c>
      <c r="E163" s="87" t="s">
        <v>98</v>
      </c>
      <c r="F163" s="88" t="s">
        <v>99</v>
      </c>
      <c r="G163" s="89" t="s">
        <v>100</v>
      </c>
      <c r="H163" s="90">
        <v>77.88</v>
      </c>
      <c r="I163" s="91">
        <v>156.6895922457376</v>
      </c>
      <c r="J163" s="92">
        <f>ROUND(I163*H163,2)</f>
        <v>12202.99</v>
      </c>
      <c r="K163" s="88" t="s">
        <v>82</v>
      </c>
      <c r="L163" s="16"/>
      <c r="M163" s="93" t="s">
        <v>0</v>
      </c>
      <c r="N163" s="94" t="s">
        <v>27</v>
      </c>
      <c r="O163" s="27"/>
      <c r="P163" s="95">
        <f>O163*H163</f>
        <v>0</v>
      </c>
      <c r="Q163" s="95">
        <v>5.9000000000000003E-4</v>
      </c>
      <c r="R163" s="95">
        <f>Q163*H163</f>
        <v>4.5949200000000003E-2</v>
      </c>
      <c r="S163" s="95">
        <v>0</v>
      </c>
      <c r="T163" s="96">
        <f>S163*H163</f>
        <v>0</v>
      </c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R163" s="97" t="s">
        <v>83</v>
      </c>
      <c r="AT163" s="97" t="s">
        <v>78</v>
      </c>
      <c r="AU163" s="97" t="s">
        <v>47</v>
      </c>
      <c r="AY163" s="10" t="s">
        <v>75</v>
      </c>
      <c r="BE163" s="98">
        <f>IF(N163="základní",J163,0)</f>
        <v>12202.99</v>
      </c>
      <c r="BF163" s="98">
        <f>IF(N163="snížená",J163,0)</f>
        <v>0</v>
      </c>
      <c r="BG163" s="98">
        <f>IF(N163="zákl. přenesená",J163,0)</f>
        <v>0</v>
      </c>
      <c r="BH163" s="98">
        <f>IF(N163="sníž. přenesená",J163,0)</f>
        <v>0</v>
      </c>
      <c r="BI163" s="98">
        <f>IF(N163="nulová",J163,0)</f>
        <v>0</v>
      </c>
      <c r="BJ163" s="10" t="s">
        <v>46</v>
      </c>
      <c r="BK163" s="98">
        <f>ROUND(I163*H163,2)</f>
        <v>12202.99</v>
      </c>
      <c r="BL163" s="10" t="s">
        <v>83</v>
      </c>
      <c r="BM163" s="97" t="s">
        <v>232</v>
      </c>
    </row>
    <row r="164" spans="1:65" s="1" customFormat="1" ht="19.5" x14ac:dyDescent="0.2">
      <c r="A164" s="156"/>
      <c r="B164" s="16"/>
      <c r="C164" s="156"/>
      <c r="D164" s="99" t="s">
        <v>84</v>
      </c>
      <c r="E164" s="156"/>
      <c r="F164" s="100" t="s">
        <v>101</v>
      </c>
      <c r="G164" s="156"/>
      <c r="H164" s="156"/>
      <c r="I164" s="101"/>
      <c r="J164" s="156"/>
      <c r="K164" s="156"/>
      <c r="L164" s="16"/>
      <c r="M164" s="102"/>
      <c r="N164" s="103"/>
      <c r="O164" s="27"/>
      <c r="P164" s="27"/>
      <c r="Q164" s="27"/>
      <c r="R164" s="27"/>
      <c r="S164" s="27"/>
      <c r="T164" s="28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T164" s="10" t="s">
        <v>84</v>
      </c>
      <c r="AU164" s="10" t="s">
        <v>47</v>
      </c>
    </row>
    <row r="165" spans="1:65" s="1" customFormat="1" ht="29.25" x14ac:dyDescent="0.2">
      <c r="A165" s="156"/>
      <c r="B165" s="16"/>
      <c r="C165" s="156"/>
      <c r="D165" s="99" t="s">
        <v>86</v>
      </c>
      <c r="E165" s="156"/>
      <c r="F165" s="104" t="s">
        <v>217</v>
      </c>
      <c r="G165" s="156"/>
      <c r="H165" s="156"/>
      <c r="I165" s="101"/>
      <c r="J165" s="156"/>
      <c r="K165" s="156"/>
      <c r="L165" s="16"/>
      <c r="M165" s="102"/>
      <c r="N165" s="103"/>
      <c r="O165" s="27"/>
      <c r="P165" s="27"/>
      <c r="Q165" s="27"/>
      <c r="R165" s="27"/>
      <c r="S165" s="27"/>
      <c r="T165" s="28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T165" s="10" t="s">
        <v>86</v>
      </c>
      <c r="AU165" s="10" t="s">
        <v>47</v>
      </c>
    </row>
    <row r="166" spans="1:65" s="7" customFormat="1" x14ac:dyDescent="0.2">
      <c r="B166" s="112"/>
      <c r="D166" s="99" t="s">
        <v>87</v>
      </c>
      <c r="E166" s="113" t="s">
        <v>0</v>
      </c>
      <c r="F166" s="114" t="s">
        <v>429</v>
      </c>
      <c r="H166" s="115">
        <f>17.7*2.2*2</f>
        <v>77.88000000000001</v>
      </c>
      <c r="I166" s="116"/>
      <c r="L166" s="112"/>
      <c r="M166" s="117"/>
      <c r="N166" s="118"/>
      <c r="O166" s="118"/>
      <c r="P166" s="118"/>
      <c r="Q166" s="118"/>
      <c r="R166" s="118"/>
      <c r="S166" s="118"/>
      <c r="T166" s="119"/>
      <c r="AT166" s="113" t="s">
        <v>87</v>
      </c>
      <c r="AU166" s="113" t="s">
        <v>47</v>
      </c>
      <c r="AV166" s="7" t="s">
        <v>47</v>
      </c>
      <c r="AW166" s="7" t="s">
        <v>19</v>
      </c>
      <c r="AX166" s="7" t="s">
        <v>46</v>
      </c>
      <c r="AY166" s="113" t="s">
        <v>75</v>
      </c>
    </row>
    <row r="167" spans="1:65" s="1" customFormat="1" ht="14.45" customHeight="1" x14ac:dyDescent="0.2">
      <c r="A167" s="156"/>
      <c r="B167" s="85"/>
      <c r="C167" s="86" t="s">
        <v>233</v>
      </c>
      <c r="D167" s="86" t="s">
        <v>78</v>
      </c>
      <c r="E167" s="87" t="s">
        <v>105</v>
      </c>
      <c r="F167" s="88" t="s">
        <v>106</v>
      </c>
      <c r="G167" s="89" t="s">
        <v>100</v>
      </c>
      <c r="H167" s="90">
        <v>77.88</v>
      </c>
      <c r="I167" s="91">
        <v>103.33666316345877</v>
      </c>
      <c r="J167" s="92">
        <f>ROUND(I167*H167,2)</f>
        <v>8047.86</v>
      </c>
      <c r="K167" s="88" t="s">
        <v>82</v>
      </c>
      <c r="L167" s="16"/>
      <c r="M167" s="93" t="s">
        <v>0</v>
      </c>
      <c r="N167" s="94" t="s">
        <v>27</v>
      </c>
      <c r="O167" s="27"/>
      <c r="P167" s="95">
        <f>O167*H167</f>
        <v>0</v>
      </c>
      <c r="Q167" s="95">
        <v>0</v>
      </c>
      <c r="R167" s="95">
        <f>Q167*H167</f>
        <v>0</v>
      </c>
      <c r="S167" s="95">
        <v>0</v>
      </c>
      <c r="T167" s="96">
        <f>S167*H167</f>
        <v>0</v>
      </c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R167" s="97" t="s">
        <v>83</v>
      </c>
      <c r="AT167" s="97" t="s">
        <v>78</v>
      </c>
      <c r="AU167" s="97" t="s">
        <v>47</v>
      </c>
      <c r="AY167" s="10" t="s">
        <v>75</v>
      </c>
      <c r="BE167" s="98">
        <f>IF(N167="základní",J167,0)</f>
        <v>8047.86</v>
      </c>
      <c r="BF167" s="98">
        <f>IF(N167="snížená",J167,0)</f>
        <v>0</v>
      </c>
      <c r="BG167" s="98">
        <f>IF(N167="zákl. přenesená",J167,0)</f>
        <v>0</v>
      </c>
      <c r="BH167" s="98">
        <f>IF(N167="sníž. přenesená",J167,0)</f>
        <v>0</v>
      </c>
      <c r="BI167" s="98">
        <f>IF(N167="nulová",J167,0)</f>
        <v>0</v>
      </c>
      <c r="BJ167" s="10" t="s">
        <v>46</v>
      </c>
      <c r="BK167" s="98">
        <f>ROUND(I167*H167,2)</f>
        <v>8047.86</v>
      </c>
      <c r="BL167" s="10" t="s">
        <v>83</v>
      </c>
      <c r="BM167" s="97" t="s">
        <v>234</v>
      </c>
    </row>
    <row r="168" spans="1:65" s="1" customFormat="1" ht="19.5" x14ac:dyDescent="0.2">
      <c r="A168" s="156"/>
      <c r="B168" s="16"/>
      <c r="C168" s="156"/>
      <c r="D168" s="99" t="s">
        <v>84</v>
      </c>
      <c r="E168" s="156"/>
      <c r="F168" s="100" t="s">
        <v>107</v>
      </c>
      <c r="G168" s="156"/>
      <c r="H168" s="156"/>
      <c r="I168" s="101"/>
      <c r="J168" s="156"/>
      <c r="K168" s="156"/>
      <c r="L168" s="16"/>
      <c r="M168" s="102"/>
      <c r="N168" s="103"/>
      <c r="O168" s="27"/>
      <c r="P168" s="27"/>
      <c r="Q168" s="27"/>
      <c r="R168" s="27"/>
      <c r="S168" s="27"/>
      <c r="T168" s="28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T168" s="10" t="s">
        <v>84</v>
      </c>
      <c r="AU168" s="10" t="s">
        <v>47</v>
      </c>
    </row>
    <row r="169" spans="1:65" s="1" customFormat="1" ht="37.9" customHeight="1" x14ac:dyDescent="0.2">
      <c r="A169" s="156"/>
      <c r="B169" s="85"/>
      <c r="C169" s="86" t="s">
        <v>235</v>
      </c>
      <c r="D169" s="86" t="s">
        <v>78</v>
      </c>
      <c r="E169" s="87" t="s">
        <v>109</v>
      </c>
      <c r="F169" s="88" t="s">
        <v>110</v>
      </c>
      <c r="G169" s="89" t="s">
        <v>81</v>
      </c>
      <c r="H169" s="90">
        <v>29.64</v>
      </c>
      <c r="I169" s="91">
        <v>262.06861194786097</v>
      </c>
      <c r="J169" s="92">
        <f>ROUND(I169*H169,2)</f>
        <v>7767.71</v>
      </c>
      <c r="K169" s="88" t="s">
        <v>82</v>
      </c>
      <c r="L169" s="16"/>
      <c r="M169" s="93" t="s">
        <v>0</v>
      </c>
      <c r="N169" s="94" t="s">
        <v>27</v>
      </c>
      <c r="O169" s="27"/>
      <c r="P169" s="95">
        <f>O169*H169</f>
        <v>0</v>
      </c>
      <c r="Q169" s="95">
        <v>0</v>
      </c>
      <c r="R169" s="95">
        <f>Q169*H169</f>
        <v>0</v>
      </c>
      <c r="S169" s="95">
        <v>0</v>
      </c>
      <c r="T169" s="96">
        <f>S169*H169</f>
        <v>0</v>
      </c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R169" s="97" t="s">
        <v>83</v>
      </c>
      <c r="AT169" s="97" t="s">
        <v>78</v>
      </c>
      <c r="AU169" s="97" t="s">
        <v>47</v>
      </c>
      <c r="AY169" s="10" t="s">
        <v>75</v>
      </c>
      <c r="BE169" s="98">
        <f>IF(N169="základní",J169,0)</f>
        <v>7767.71</v>
      </c>
      <c r="BF169" s="98">
        <f>IF(N169="snížená",J169,0)</f>
        <v>0</v>
      </c>
      <c r="BG169" s="98">
        <f>IF(N169="zákl. přenesená",J169,0)</f>
        <v>0</v>
      </c>
      <c r="BH169" s="98">
        <f>IF(N169="sníž. přenesená",J169,0)</f>
        <v>0</v>
      </c>
      <c r="BI169" s="98">
        <f>IF(N169="nulová",J169,0)</f>
        <v>0</v>
      </c>
      <c r="BJ169" s="10" t="s">
        <v>46</v>
      </c>
      <c r="BK169" s="98">
        <f>ROUND(I169*H169,2)</f>
        <v>7767.71</v>
      </c>
      <c r="BL169" s="10" t="s">
        <v>83</v>
      </c>
      <c r="BM169" s="97" t="s">
        <v>236</v>
      </c>
    </row>
    <row r="170" spans="1:65" s="1" customFormat="1" ht="39" x14ac:dyDescent="0.2">
      <c r="A170" s="156"/>
      <c r="B170" s="16"/>
      <c r="C170" s="156"/>
      <c r="D170" s="99" t="s">
        <v>84</v>
      </c>
      <c r="E170" s="156"/>
      <c r="F170" s="100" t="s">
        <v>111</v>
      </c>
      <c r="G170" s="156"/>
      <c r="H170" s="156"/>
      <c r="I170" s="101"/>
      <c r="J170" s="156"/>
      <c r="K170" s="156"/>
      <c r="L170" s="16"/>
      <c r="M170" s="102"/>
      <c r="N170" s="103"/>
      <c r="O170" s="27"/>
      <c r="P170" s="27"/>
      <c r="Q170" s="27"/>
      <c r="R170" s="27"/>
      <c r="S170" s="27"/>
      <c r="T170" s="28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T170" s="10" t="s">
        <v>84</v>
      </c>
      <c r="AU170" s="10" t="s">
        <v>47</v>
      </c>
    </row>
    <row r="171" spans="1:65" s="6" customFormat="1" x14ac:dyDescent="0.2">
      <c r="B171" s="105"/>
      <c r="D171" s="99" t="s">
        <v>87</v>
      </c>
      <c r="E171" s="106" t="s">
        <v>0</v>
      </c>
      <c r="F171" s="107" t="s">
        <v>140</v>
      </c>
      <c r="H171" s="106" t="s">
        <v>0</v>
      </c>
      <c r="I171" s="108"/>
      <c r="L171" s="105"/>
      <c r="M171" s="109"/>
      <c r="N171" s="110"/>
      <c r="O171" s="110"/>
      <c r="P171" s="110"/>
      <c r="Q171" s="110"/>
      <c r="R171" s="110"/>
      <c r="S171" s="110"/>
      <c r="T171" s="111"/>
      <c r="AT171" s="106" t="s">
        <v>87</v>
      </c>
      <c r="AU171" s="106" t="s">
        <v>47</v>
      </c>
      <c r="AV171" s="6" t="s">
        <v>46</v>
      </c>
      <c r="AW171" s="6" t="s">
        <v>19</v>
      </c>
      <c r="AX171" s="6" t="s">
        <v>45</v>
      </c>
      <c r="AY171" s="106" t="s">
        <v>75</v>
      </c>
    </row>
    <row r="172" spans="1:65" s="7" customFormat="1" x14ac:dyDescent="0.2">
      <c r="B172" s="112"/>
      <c r="D172" s="99" t="s">
        <v>87</v>
      </c>
      <c r="E172" s="113" t="s">
        <v>0</v>
      </c>
      <c r="F172" s="114" t="s">
        <v>430</v>
      </c>
      <c r="H172" s="115">
        <f>14.82+14.82</f>
        <v>29.64</v>
      </c>
      <c r="I172" s="116"/>
      <c r="L172" s="112"/>
      <c r="M172" s="117"/>
      <c r="N172" s="118"/>
      <c r="O172" s="118"/>
      <c r="P172" s="118"/>
      <c r="Q172" s="118"/>
      <c r="R172" s="118"/>
      <c r="S172" s="118"/>
      <c r="T172" s="119"/>
      <c r="AT172" s="113" t="s">
        <v>87</v>
      </c>
      <c r="AU172" s="113" t="s">
        <v>47</v>
      </c>
      <c r="AV172" s="7" t="s">
        <v>47</v>
      </c>
      <c r="AW172" s="7" t="s">
        <v>19</v>
      </c>
      <c r="AX172" s="7" t="s">
        <v>45</v>
      </c>
      <c r="AY172" s="113" t="s">
        <v>75</v>
      </c>
    </row>
    <row r="173" spans="1:65" s="9" customFormat="1" x14ac:dyDescent="0.2">
      <c r="B173" s="128"/>
      <c r="D173" s="99" t="s">
        <v>87</v>
      </c>
      <c r="E173" s="129" t="s">
        <v>0</v>
      </c>
      <c r="F173" s="130" t="s">
        <v>103</v>
      </c>
      <c r="H173" s="131">
        <f>H172</f>
        <v>29.64</v>
      </c>
      <c r="I173" s="132"/>
      <c r="L173" s="128"/>
      <c r="M173" s="133"/>
      <c r="N173" s="134"/>
      <c r="O173" s="134"/>
      <c r="P173" s="134"/>
      <c r="Q173" s="134"/>
      <c r="R173" s="134"/>
      <c r="S173" s="134"/>
      <c r="T173" s="135"/>
      <c r="AT173" s="129" t="s">
        <v>87</v>
      </c>
      <c r="AU173" s="129" t="s">
        <v>47</v>
      </c>
      <c r="AV173" s="9" t="s">
        <v>83</v>
      </c>
      <c r="AW173" s="9" t="s">
        <v>19</v>
      </c>
      <c r="AX173" s="9" t="s">
        <v>46</v>
      </c>
      <c r="AY173" s="129" t="s">
        <v>75</v>
      </c>
    </row>
    <row r="174" spans="1:65" s="1" customFormat="1" ht="37.9" customHeight="1" x14ac:dyDescent="0.2">
      <c r="A174" s="156"/>
      <c r="B174" s="85"/>
      <c r="C174" s="86" t="s">
        <v>237</v>
      </c>
      <c r="D174" s="86" t="s">
        <v>78</v>
      </c>
      <c r="E174" s="87" t="s">
        <v>238</v>
      </c>
      <c r="F174" s="88" t="s">
        <v>239</v>
      </c>
      <c r="G174" s="89" t="s">
        <v>81</v>
      </c>
      <c r="H174" s="90">
        <f>H169*0.1</f>
        <v>2.9640000000000004</v>
      </c>
      <c r="I174" s="91">
        <v>282.06861194786097</v>
      </c>
      <c r="J174" s="92">
        <f>ROUND(I174*H174,2)</f>
        <v>836.05</v>
      </c>
      <c r="K174" s="88" t="s">
        <v>0</v>
      </c>
      <c r="L174" s="16"/>
      <c r="M174" s="93" t="s">
        <v>0</v>
      </c>
      <c r="N174" s="94" t="s">
        <v>27</v>
      </c>
      <c r="O174" s="27"/>
      <c r="P174" s="95">
        <f>O174*H174</f>
        <v>0</v>
      </c>
      <c r="Q174" s="95">
        <v>0</v>
      </c>
      <c r="R174" s="95">
        <f>Q174*H174</f>
        <v>0</v>
      </c>
      <c r="S174" s="95">
        <v>0</v>
      </c>
      <c r="T174" s="96">
        <f>S174*H174</f>
        <v>0</v>
      </c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R174" s="97" t="s">
        <v>83</v>
      </c>
      <c r="AT174" s="97" t="s">
        <v>78</v>
      </c>
      <c r="AU174" s="97" t="s">
        <v>47</v>
      </c>
      <c r="AY174" s="10" t="s">
        <v>75</v>
      </c>
      <c r="BE174" s="98">
        <f>IF(N174="základní",J174,0)</f>
        <v>836.05</v>
      </c>
      <c r="BF174" s="98">
        <f>IF(N174="snížená",J174,0)</f>
        <v>0</v>
      </c>
      <c r="BG174" s="98">
        <f>IF(N174="zákl. přenesená",J174,0)</f>
        <v>0</v>
      </c>
      <c r="BH174" s="98">
        <f>IF(N174="sníž. přenesená",J174,0)</f>
        <v>0</v>
      </c>
      <c r="BI174" s="98">
        <f>IF(N174="nulová",J174,0)</f>
        <v>0</v>
      </c>
      <c r="BJ174" s="10" t="s">
        <v>46</v>
      </c>
      <c r="BK174" s="98">
        <f>ROUND(I174*H174,2)</f>
        <v>836.05</v>
      </c>
      <c r="BL174" s="10" t="s">
        <v>83</v>
      </c>
      <c r="BM174" s="97" t="s">
        <v>240</v>
      </c>
    </row>
    <row r="175" spans="1:65" s="1" customFormat="1" ht="39" x14ac:dyDescent="0.2">
      <c r="A175" s="156"/>
      <c r="B175" s="16"/>
      <c r="C175" s="156"/>
      <c r="D175" s="99" t="s">
        <v>84</v>
      </c>
      <c r="E175" s="156"/>
      <c r="F175" s="100" t="s">
        <v>111</v>
      </c>
      <c r="G175" s="156"/>
      <c r="H175" s="156"/>
      <c r="I175" s="101"/>
      <c r="J175" s="156"/>
      <c r="K175" s="156"/>
      <c r="L175" s="16"/>
      <c r="M175" s="102"/>
      <c r="N175" s="103"/>
      <c r="O175" s="27"/>
      <c r="P175" s="27"/>
      <c r="Q175" s="27"/>
      <c r="R175" s="27"/>
      <c r="S175" s="27"/>
      <c r="T175" s="28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T175" s="10" t="s">
        <v>84</v>
      </c>
      <c r="AU175" s="10" t="s">
        <v>47</v>
      </c>
    </row>
    <row r="176" spans="1:65" s="1" customFormat="1" ht="37.9" customHeight="1" x14ac:dyDescent="0.2">
      <c r="A176" s="156"/>
      <c r="B176" s="85"/>
      <c r="C176" s="86" t="s">
        <v>77</v>
      </c>
      <c r="D176" s="86" t="s">
        <v>78</v>
      </c>
      <c r="E176" s="87" t="s">
        <v>113</v>
      </c>
      <c r="F176" s="88" t="s">
        <v>114</v>
      </c>
      <c r="G176" s="89" t="s">
        <v>81</v>
      </c>
      <c r="H176" s="90">
        <v>148.19999999999999</v>
      </c>
      <c r="I176" s="91">
        <v>3.4208109177592001</v>
      </c>
      <c r="J176" s="92">
        <f>ROUND(I176*H176,2)</f>
        <v>506.96</v>
      </c>
      <c r="K176" s="88" t="s">
        <v>82</v>
      </c>
      <c r="L176" s="16"/>
      <c r="M176" s="93" t="s">
        <v>0</v>
      </c>
      <c r="N176" s="94" t="s">
        <v>27</v>
      </c>
      <c r="O176" s="27"/>
      <c r="P176" s="95">
        <f>O176*H176</f>
        <v>0</v>
      </c>
      <c r="Q176" s="95">
        <v>0</v>
      </c>
      <c r="R176" s="95">
        <f>Q176*H176</f>
        <v>0</v>
      </c>
      <c r="S176" s="95">
        <v>0</v>
      </c>
      <c r="T176" s="96">
        <f>S176*H176</f>
        <v>0</v>
      </c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R176" s="97" t="s">
        <v>83</v>
      </c>
      <c r="AT176" s="97" t="s">
        <v>78</v>
      </c>
      <c r="AU176" s="97" t="s">
        <v>47</v>
      </c>
      <c r="AY176" s="10" t="s">
        <v>75</v>
      </c>
      <c r="BE176" s="98">
        <f>IF(N176="základní",J176,0)</f>
        <v>506.96</v>
      </c>
      <c r="BF176" s="98">
        <f>IF(N176="snížená",J176,0)</f>
        <v>0</v>
      </c>
      <c r="BG176" s="98">
        <f>IF(N176="zákl. přenesená",J176,0)</f>
        <v>0</v>
      </c>
      <c r="BH176" s="98">
        <f>IF(N176="sníž. přenesená",J176,0)</f>
        <v>0</v>
      </c>
      <c r="BI176" s="98">
        <f>IF(N176="nulová",J176,0)</f>
        <v>0</v>
      </c>
      <c r="BJ176" s="10" t="s">
        <v>46</v>
      </c>
      <c r="BK176" s="98">
        <f>ROUND(I176*H176,2)</f>
        <v>506.96</v>
      </c>
      <c r="BL176" s="10" t="s">
        <v>83</v>
      </c>
      <c r="BM176" s="97" t="s">
        <v>241</v>
      </c>
    </row>
    <row r="177" spans="1:65" s="1" customFormat="1" ht="48.75" x14ac:dyDescent="0.2">
      <c r="A177" s="156"/>
      <c r="B177" s="16"/>
      <c r="C177" s="156"/>
      <c r="D177" s="99" t="s">
        <v>84</v>
      </c>
      <c r="E177" s="156"/>
      <c r="F177" s="100" t="s">
        <v>115</v>
      </c>
      <c r="G177" s="156"/>
      <c r="H177" s="156"/>
      <c r="I177" s="101"/>
      <c r="J177" s="156"/>
      <c r="K177" s="156"/>
      <c r="L177" s="16"/>
      <c r="M177" s="102"/>
      <c r="N177" s="103"/>
      <c r="O177" s="27"/>
      <c r="P177" s="27"/>
      <c r="Q177" s="27"/>
      <c r="R177" s="27"/>
      <c r="S177" s="27"/>
      <c r="T177" s="28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T177" s="10" t="s">
        <v>84</v>
      </c>
      <c r="AU177" s="10" t="s">
        <v>47</v>
      </c>
    </row>
    <row r="178" spans="1:65" s="7" customFormat="1" x14ac:dyDescent="0.2">
      <c r="B178" s="112"/>
      <c r="D178" s="99" t="s">
        <v>87</v>
      </c>
      <c r="F178" s="114" t="s">
        <v>431</v>
      </c>
      <c r="H178" s="115">
        <f>29.64*5</f>
        <v>148.19999999999999</v>
      </c>
      <c r="I178" s="116"/>
      <c r="L178" s="112"/>
      <c r="M178" s="117"/>
      <c r="N178" s="118"/>
      <c r="O178" s="118"/>
      <c r="P178" s="118"/>
      <c r="Q178" s="118"/>
      <c r="R178" s="118"/>
      <c r="S178" s="118"/>
      <c r="T178" s="119"/>
      <c r="AT178" s="113" t="s">
        <v>87</v>
      </c>
      <c r="AU178" s="113" t="s">
        <v>47</v>
      </c>
      <c r="AV178" s="7" t="s">
        <v>47</v>
      </c>
      <c r="AW178" s="7" t="s">
        <v>1</v>
      </c>
      <c r="AX178" s="7" t="s">
        <v>46</v>
      </c>
      <c r="AY178" s="113" t="s">
        <v>75</v>
      </c>
    </row>
    <row r="179" spans="1:65" s="1" customFormat="1" ht="37.9" customHeight="1" x14ac:dyDescent="0.2">
      <c r="A179" s="156"/>
      <c r="B179" s="85"/>
      <c r="C179" s="86" t="s">
        <v>89</v>
      </c>
      <c r="D179" s="86" t="s">
        <v>78</v>
      </c>
      <c r="E179" s="87" t="s">
        <v>242</v>
      </c>
      <c r="F179" s="88" t="s">
        <v>243</v>
      </c>
      <c r="G179" s="89" t="s">
        <v>81</v>
      </c>
      <c r="H179" s="90">
        <v>14.82</v>
      </c>
      <c r="I179" s="91">
        <v>3.4208109177592001</v>
      </c>
      <c r="J179" s="92">
        <f>ROUND(I179*H179,2)</f>
        <v>50.7</v>
      </c>
      <c r="K179" s="88" t="s">
        <v>0</v>
      </c>
      <c r="L179" s="16"/>
      <c r="M179" s="93" t="s">
        <v>0</v>
      </c>
      <c r="N179" s="94" t="s">
        <v>27</v>
      </c>
      <c r="O179" s="27"/>
      <c r="P179" s="95">
        <f>O179*H179</f>
        <v>0</v>
      </c>
      <c r="Q179" s="95">
        <v>0</v>
      </c>
      <c r="R179" s="95">
        <f>Q179*H179</f>
        <v>0</v>
      </c>
      <c r="S179" s="95">
        <v>0</v>
      </c>
      <c r="T179" s="96">
        <f>S179*H179</f>
        <v>0</v>
      </c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R179" s="97" t="s">
        <v>83</v>
      </c>
      <c r="AT179" s="97" t="s">
        <v>78</v>
      </c>
      <c r="AU179" s="97" t="s">
        <v>47</v>
      </c>
      <c r="AY179" s="10" t="s">
        <v>75</v>
      </c>
      <c r="BE179" s="98">
        <f>IF(N179="základní",J179,0)</f>
        <v>50.7</v>
      </c>
      <c r="BF179" s="98">
        <f>IF(N179="snížená",J179,0)</f>
        <v>0</v>
      </c>
      <c r="BG179" s="98">
        <f>IF(N179="zákl. přenesená",J179,0)</f>
        <v>0</v>
      </c>
      <c r="BH179" s="98">
        <f>IF(N179="sníž. přenesená",J179,0)</f>
        <v>0</v>
      </c>
      <c r="BI179" s="98">
        <f>IF(N179="nulová",J179,0)</f>
        <v>0</v>
      </c>
      <c r="BJ179" s="10" t="s">
        <v>46</v>
      </c>
      <c r="BK179" s="98">
        <f>ROUND(I179*H179,2)</f>
        <v>50.7</v>
      </c>
      <c r="BL179" s="10" t="s">
        <v>83</v>
      </c>
      <c r="BM179" s="97" t="s">
        <v>244</v>
      </c>
    </row>
    <row r="180" spans="1:65" s="1" customFormat="1" ht="48.75" x14ac:dyDescent="0.2">
      <c r="A180" s="156"/>
      <c r="B180" s="16"/>
      <c r="C180" s="156"/>
      <c r="D180" s="99" t="s">
        <v>84</v>
      </c>
      <c r="E180" s="156"/>
      <c r="F180" s="100" t="s">
        <v>115</v>
      </c>
      <c r="G180" s="156"/>
      <c r="H180" s="156"/>
      <c r="I180" s="101"/>
      <c r="J180" s="156"/>
      <c r="K180" s="156"/>
      <c r="L180" s="16"/>
      <c r="M180" s="102"/>
      <c r="N180" s="103"/>
      <c r="O180" s="27"/>
      <c r="P180" s="27"/>
      <c r="Q180" s="27"/>
      <c r="R180" s="27"/>
      <c r="S180" s="27"/>
      <c r="T180" s="28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T180" s="10" t="s">
        <v>84</v>
      </c>
      <c r="AU180" s="10" t="s">
        <v>47</v>
      </c>
    </row>
    <row r="181" spans="1:65" s="7" customFormat="1" x14ac:dyDescent="0.2">
      <c r="B181" s="112"/>
      <c r="D181" s="99" t="s">
        <v>87</v>
      </c>
      <c r="F181" s="114" t="s">
        <v>433</v>
      </c>
      <c r="H181" s="115">
        <f>2.964*5</f>
        <v>14.82</v>
      </c>
      <c r="I181" s="116"/>
      <c r="L181" s="112"/>
      <c r="M181" s="117"/>
      <c r="N181" s="118"/>
      <c r="O181" s="118"/>
      <c r="P181" s="118"/>
      <c r="Q181" s="118"/>
      <c r="R181" s="118"/>
      <c r="S181" s="118"/>
      <c r="T181" s="119"/>
      <c r="AT181" s="113" t="s">
        <v>87</v>
      </c>
      <c r="AU181" s="113" t="s">
        <v>47</v>
      </c>
      <c r="AV181" s="7" t="s">
        <v>47</v>
      </c>
      <c r="AW181" s="7" t="s">
        <v>1</v>
      </c>
      <c r="AX181" s="7" t="s">
        <v>46</v>
      </c>
      <c r="AY181" s="113" t="s">
        <v>75</v>
      </c>
    </row>
    <row r="182" spans="1:65" s="1" customFormat="1" ht="24.2" customHeight="1" x14ac:dyDescent="0.2">
      <c r="A182" s="156"/>
      <c r="B182" s="85"/>
      <c r="C182" s="86" t="s">
        <v>93</v>
      </c>
      <c r="D182" s="86" t="s">
        <v>78</v>
      </c>
      <c r="E182" s="87" t="s">
        <v>245</v>
      </c>
      <c r="F182" s="88" t="s">
        <v>246</v>
      </c>
      <c r="G182" s="89" t="s">
        <v>81</v>
      </c>
      <c r="H182" s="90">
        <v>14.82</v>
      </c>
      <c r="I182" s="91">
        <v>43.080493951075745</v>
      </c>
      <c r="J182" s="92">
        <f>ROUND(I182*H182,2)</f>
        <v>638.45000000000005</v>
      </c>
      <c r="K182" s="88" t="s">
        <v>82</v>
      </c>
      <c r="L182" s="16"/>
      <c r="M182" s="93" t="s">
        <v>0</v>
      </c>
      <c r="N182" s="94" t="s">
        <v>27</v>
      </c>
      <c r="O182" s="27"/>
      <c r="P182" s="95">
        <f>O182*H182</f>
        <v>0</v>
      </c>
      <c r="Q182" s="95">
        <v>0</v>
      </c>
      <c r="R182" s="95">
        <f>Q182*H182</f>
        <v>0</v>
      </c>
      <c r="S182" s="95">
        <v>0</v>
      </c>
      <c r="T182" s="96">
        <f>S182*H182</f>
        <v>0</v>
      </c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R182" s="97" t="s">
        <v>83</v>
      </c>
      <c r="AT182" s="97" t="s">
        <v>78</v>
      </c>
      <c r="AU182" s="97" t="s">
        <v>47</v>
      </c>
      <c r="AY182" s="10" t="s">
        <v>75</v>
      </c>
      <c r="BE182" s="98">
        <f>IF(N182="základní",J182,0)</f>
        <v>638.45000000000005</v>
      </c>
      <c r="BF182" s="98">
        <f>IF(N182="snížená",J182,0)</f>
        <v>0</v>
      </c>
      <c r="BG182" s="98">
        <f>IF(N182="zákl. přenesená",J182,0)</f>
        <v>0</v>
      </c>
      <c r="BH182" s="98">
        <f>IF(N182="sníž. přenesená",J182,0)</f>
        <v>0</v>
      </c>
      <c r="BI182" s="98">
        <f>IF(N182="nulová",J182,0)</f>
        <v>0</v>
      </c>
      <c r="BJ182" s="10" t="s">
        <v>46</v>
      </c>
      <c r="BK182" s="98">
        <f>ROUND(I182*H182,2)</f>
        <v>638.45000000000005</v>
      </c>
      <c r="BL182" s="10" t="s">
        <v>83</v>
      </c>
      <c r="BM182" s="97" t="s">
        <v>247</v>
      </c>
    </row>
    <row r="183" spans="1:65" s="1" customFormat="1" ht="29.25" x14ac:dyDescent="0.2">
      <c r="A183" s="156"/>
      <c r="B183" s="16"/>
      <c r="C183" s="156"/>
      <c r="D183" s="99" t="s">
        <v>84</v>
      </c>
      <c r="E183" s="156"/>
      <c r="F183" s="100" t="s">
        <v>248</v>
      </c>
      <c r="G183" s="156"/>
      <c r="H183" s="156"/>
      <c r="I183" s="101"/>
      <c r="J183" s="156"/>
      <c r="K183" s="156"/>
      <c r="L183" s="16"/>
      <c r="M183" s="102"/>
      <c r="N183" s="103"/>
      <c r="O183" s="27"/>
      <c r="P183" s="27"/>
      <c r="Q183" s="27"/>
      <c r="R183" s="27"/>
      <c r="S183" s="27"/>
      <c r="T183" s="28"/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T183" s="10" t="s">
        <v>84</v>
      </c>
      <c r="AU183" s="10" t="s">
        <v>47</v>
      </c>
    </row>
    <row r="184" spans="1:65" s="1" customFormat="1" ht="24.2" customHeight="1" x14ac:dyDescent="0.2">
      <c r="A184" s="156"/>
      <c r="B184" s="85"/>
      <c r="C184" s="86" t="s">
        <v>4</v>
      </c>
      <c r="D184" s="86" t="s">
        <v>78</v>
      </c>
      <c r="E184" s="87" t="s">
        <v>154</v>
      </c>
      <c r="F184" s="88" t="s">
        <v>155</v>
      </c>
      <c r="G184" s="89" t="s">
        <v>100</v>
      </c>
      <c r="H184" s="90">
        <v>18.45</v>
      </c>
      <c r="I184" s="91">
        <v>6.3644601414457247</v>
      </c>
      <c r="J184" s="92">
        <f>ROUND(I184*H184,2)</f>
        <v>117.42</v>
      </c>
      <c r="K184" s="88" t="s">
        <v>82</v>
      </c>
      <c r="L184" s="16"/>
      <c r="M184" s="93" t="s">
        <v>0</v>
      </c>
      <c r="N184" s="94" t="s">
        <v>27</v>
      </c>
      <c r="O184" s="27"/>
      <c r="P184" s="95">
        <f>O184*H184</f>
        <v>0</v>
      </c>
      <c r="Q184" s="95">
        <v>0</v>
      </c>
      <c r="R184" s="95">
        <f>Q184*H184</f>
        <v>0</v>
      </c>
      <c r="S184" s="95">
        <v>0</v>
      </c>
      <c r="T184" s="96">
        <f>S184*H184</f>
        <v>0</v>
      </c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R184" s="97" t="s">
        <v>83</v>
      </c>
      <c r="AT184" s="97" t="s">
        <v>78</v>
      </c>
      <c r="AU184" s="97" t="s">
        <v>47</v>
      </c>
      <c r="AY184" s="10" t="s">
        <v>75</v>
      </c>
      <c r="BE184" s="98">
        <f>IF(N184="základní",J184,0)</f>
        <v>117.42</v>
      </c>
      <c r="BF184" s="98">
        <f>IF(N184="snížená",J184,0)</f>
        <v>0</v>
      </c>
      <c r="BG184" s="98">
        <f>IF(N184="zákl. přenesená",J184,0)</f>
        <v>0</v>
      </c>
      <c r="BH184" s="98">
        <f>IF(N184="sníž. přenesená",J184,0)</f>
        <v>0</v>
      </c>
      <c r="BI184" s="98">
        <f>IF(N184="nulová",J184,0)</f>
        <v>0</v>
      </c>
      <c r="BJ184" s="10" t="s">
        <v>46</v>
      </c>
      <c r="BK184" s="98">
        <f>ROUND(I184*H184,2)</f>
        <v>117.42</v>
      </c>
      <c r="BL184" s="10" t="s">
        <v>83</v>
      </c>
      <c r="BM184" s="97" t="s">
        <v>249</v>
      </c>
    </row>
    <row r="185" spans="1:65" s="1" customFormat="1" ht="19.5" x14ac:dyDescent="0.2">
      <c r="A185" s="156"/>
      <c r="B185" s="16"/>
      <c r="C185" s="156"/>
      <c r="D185" s="99" t="s">
        <v>84</v>
      </c>
      <c r="E185" s="156"/>
      <c r="F185" s="100" t="s">
        <v>156</v>
      </c>
      <c r="G185" s="156"/>
      <c r="H185" s="156"/>
      <c r="I185" s="101"/>
      <c r="J185" s="156"/>
      <c r="K185" s="156"/>
      <c r="L185" s="16"/>
      <c r="M185" s="102"/>
      <c r="N185" s="103"/>
      <c r="O185" s="27"/>
      <c r="P185" s="27"/>
      <c r="Q185" s="27"/>
      <c r="R185" s="27"/>
      <c r="S185" s="27"/>
      <c r="T185" s="28"/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T185" s="10" t="s">
        <v>84</v>
      </c>
      <c r="AU185" s="10" t="s">
        <v>47</v>
      </c>
    </row>
    <row r="186" spans="1:65" s="1" customFormat="1" ht="19.5" x14ac:dyDescent="0.2">
      <c r="A186" s="156"/>
      <c r="B186" s="16"/>
      <c r="C186" s="156"/>
      <c r="D186" s="99" t="s">
        <v>86</v>
      </c>
      <c r="E186" s="156"/>
      <c r="F186" s="104" t="s">
        <v>102</v>
      </c>
      <c r="G186" s="156"/>
      <c r="H186" s="156"/>
      <c r="I186" s="101"/>
      <c r="J186" s="156"/>
      <c r="K186" s="156"/>
      <c r="L186" s="16"/>
      <c r="M186" s="102"/>
      <c r="N186" s="103"/>
      <c r="O186" s="27"/>
      <c r="P186" s="27"/>
      <c r="Q186" s="27"/>
      <c r="R186" s="27"/>
      <c r="S186" s="27"/>
      <c r="T186" s="28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T186" s="10" t="s">
        <v>86</v>
      </c>
      <c r="AU186" s="10" t="s">
        <v>47</v>
      </c>
    </row>
    <row r="187" spans="1:65" s="7" customFormat="1" x14ac:dyDescent="0.2">
      <c r="B187" s="112"/>
      <c r="D187" s="99" t="s">
        <v>87</v>
      </c>
      <c r="E187" s="113" t="s">
        <v>0</v>
      </c>
      <c r="F187" s="114" t="s">
        <v>432</v>
      </c>
      <c r="H187" s="115">
        <v>17.7</v>
      </c>
      <c r="I187" s="116"/>
      <c r="L187" s="112"/>
      <c r="M187" s="117"/>
      <c r="N187" s="118"/>
      <c r="O187" s="118"/>
      <c r="P187" s="118"/>
      <c r="Q187" s="118"/>
      <c r="R187" s="118"/>
      <c r="S187" s="118"/>
      <c r="T187" s="119"/>
      <c r="AT187" s="113" t="s">
        <v>87</v>
      </c>
      <c r="AU187" s="113" t="s">
        <v>47</v>
      </c>
      <c r="AV187" s="7" t="s">
        <v>47</v>
      </c>
      <c r="AW187" s="7" t="s">
        <v>19</v>
      </c>
      <c r="AX187" s="7" t="s">
        <v>45</v>
      </c>
      <c r="AY187" s="113" t="s">
        <v>75</v>
      </c>
    </row>
    <row r="188" spans="1:65" s="7" customFormat="1" x14ac:dyDescent="0.2">
      <c r="B188" s="112"/>
      <c r="D188" s="99" t="s">
        <v>87</v>
      </c>
      <c r="E188" s="113" t="s">
        <v>0</v>
      </c>
      <c r="F188" s="114" t="s">
        <v>250</v>
      </c>
      <c r="H188" s="115">
        <f>1.5*1.5*1-1.5*1*1</f>
        <v>0.75</v>
      </c>
      <c r="I188" s="116"/>
      <c r="L188" s="112"/>
      <c r="M188" s="117"/>
      <c r="N188" s="118"/>
      <c r="O188" s="118"/>
      <c r="P188" s="118"/>
      <c r="Q188" s="118"/>
      <c r="R188" s="118"/>
      <c r="S188" s="118"/>
      <c r="T188" s="119"/>
      <c r="AT188" s="113" t="s">
        <v>87</v>
      </c>
      <c r="AU188" s="113" t="s">
        <v>47</v>
      </c>
      <c r="AV188" s="7" t="s">
        <v>47</v>
      </c>
      <c r="AW188" s="7" t="s">
        <v>19</v>
      </c>
      <c r="AX188" s="7" t="s">
        <v>45</v>
      </c>
      <c r="AY188" s="113" t="s">
        <v>75</v>
      </c>
    </row>
    <row r="189" spans="1:65" s="9" customFormat="1" x14ac:dyDescent="0.2">
      <c r="B189" s="128"/>
      <c r="D189" s="99" t="s">
        <v>87</v>
      </c>
      <c r="E189" s="129" t="s">
        <v>0</v>
      </c>
      <c r="F189" s="130" t="s">
        <v>103</v>
      </c>
      <c r="H189" s="131">
        <f>H187+H188</f>
        <v>18.45</v>
      </c>
      <c r="I189" s="132"/>
      <c r="L189" s="128"/>
      <c r="M189" s="133"/>
      <c r="N189" s="134"/>
      <c r="O189" s="134"/>
      <c r="P189" s="134"/>
      <c r="Q189" s="134"/>
      <c r="R189" s="134"/>
      <c r="S189" s="134"/>
      <c r="T189" s="135"/>
      <c r="AT189" s="129" t="s">
        <v>87</v>
      </c>
      <c r="AU189" s="129" t="s">
        <v>47</v>
      </c>
      <c r="AV189" s="9" t="s">
        <v>83</v>
      </c>
      <c r="AW189" s="9" t="s">
        <v>19</v>
      </c>
      <c r="AX189" s="9" t="s">
        <v>46</v>
      </c>
      <c r="AY189" s="129" t="s">
        <v>75</v>
      </c>
    </row>
    <row r="190" spans="1:65" s="1" customFormat="1" ht="24.2" customHeight="1" x14ac:dyDescent="0.2">
      <c r="A190" s="156"/>
      <c r="B190" s="85"/>
      <c r="C190" s="86" t="s">
        <v>104</v>
      </c>
      <c r="D190" s="86" t="s">
        <v>78</v>
      </c>
      <c r="E190" s="87" t="s">
        <v>117</v>
      </c>
      <c r="F190" s="88" t="s">
        <v>118</v>
      </c>
      <c r="G190" s="89" t="s">
        <v>119</v>
      </c>
      <c r="H190" s="90">
        <v>48.017000000000003</v>
      </c>
      <c r="I190" s="91">
        <v>110.6455721</v>
      </c>
      <c r="J190" s="92">
        <f>ROUND(I190*H190,2)</f>
        <v>5312.87</v>
      </c>
      <c r="K190" s="88" t="s">
        <v>82</v>
      </c>
      <c r="L190" s="16"/>
      <c r="M190" s="93" t="s">
        <v>0</v>
      </c>
      <c r="N190" s="94" t="s">
        <v>27</v>
      </c>
      <c r="O190" s="27"/>
      <c r="P190" s="95">
        <f>O190*H190</f>
        <v>0</v>
      </c>
      <c r="Q190" s="95">
        <v>0</v>
      </c>
      <c r="R190" s="95">
        <f>Q190*H190</f>
        <v>0</v>
      </c>
      <c r="S190" s="95">
        <v>0</v>
      </c>
      <c r="T190" s="96">
        <f>S190*H190</f>
        <v>0</v>
      </c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R190" s="97" t="s">
        <v>83</v>
      </c>
      <c r="AT190" s="97" t="s">
        <v>78</v>
      </c>
      <c r="AU190" s="97" t="s">
        <v>47</v>
      </c>
      <c r="AY190" s="10" t="s">
        <v>75</v>
      </c>
      <c r="BE190" s="98">
        <f>IF(N190="základní",J190,0)</f>
        <v>5312.87</v>
      </c>
      <c r="BF190" s="98">
        <f>IF(N190="snížená",J190,0)</f>
        <v>0</v>
      </c>
      <c r="BG190" s="98">
        <f>IF(N190="zákl. přenesená",J190,0)</f>
        <v>0</v>
      </c>
      <c r="BH190" s="98">
        <f>IF(N190="sníž. přenesená",J190,0)</f>
        <v>0</v>
      </c>
      <c r="BI190" s="98">
        <f>IF(N190="nulová",J190,0)</f>
        <v>0</v>
      </c>
      <c r="BJ190" s="10" t="s">
        <v>46</v>
      </c>
      <c r="BK190" s="98">
        <f>ROUND(I190*H190,2)</f>
        <v>5312.87</v>
      </c>
      <c r="BL190" s="10" t="s">
        <v>83</v>
      </c>
      <c r="BM190" s="97" t="s">
        <v>251</v>
      </c>
    </row>
    <row r="191" spans="1:65" s="1" customFormat="1" ht="29.25" x14ac:dyDescent="0.2">
      <c r="A191" s="156"/>
      <c r="B191" s="16"/>
      <c r="C191" s="156"/>
      <c r="D191" s="99" t="s">
        <v>84</v>
      </c>
      <c r="E191" s="156"/>
      <c r="F191" s="100" t="s">
        <v>120</v>
      </c>
      <c r="G191" s="156"/>
      <c r="H191" s="156"/>
      <c r="I191" s="101"/>
      <c r="J191" s="156"/>
      <c r="K191" s="156"/>
      <c r="L191" s="16"/>
      <c r="M191" s="102"/>
      <c r="N191" s="103"/>
      <c r="O191" s="27"/>
      <c r="P191" s="27"/>
      <c r="Q191" s="27"/>
      <c r="R191" s="27"/>
      <c r="S191" s="27"/>
      <c r="T191" s="28"/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T191" s="10" t="s">
        <v>84</v>
      </c>
      <c r="AU191" s="10" t="s">
        <v>47</v>
      </c>
    </row>
    <row r="192" spans="1:65" s="6" customFormat="1" x14ac:dyDescent="0.2">
      <c r="B192" s="105"/>
      <c r="D192" s="99" t="s">
        <v>87</v>
      </c>
      <c r="E192" s="106" t="s">
        <v>0</v>
      </c>
      <c r="F192" s="107" t="s">
        <v>252</v>
      </c>
      <c r="H192" s="106" t="s">
        <v>0</v>
      </c>
      <c r="I192" s="108"/>
      <c r="L192" s="105"/>
      <c r="M192" s="109"/>
      <c r="N192" s="110"/>
      <c r="O192" s="110"/>
      <c r="P192" s="110"/>
      <c r="Q192" s="110"/>
      <c r="R192" s="110"/>
      <c r="S192" s="110"/>
      <c r="T192" s="111"/>
      <c r="AT192" s="106" t="s">
        <v>87</v>
      </c>
      <c r="AU192" s="106" t="s">
        <v>47</v>
      </c>
      <c r="AV192" s="6" t="s">
        <v>46</v>
      </c>
      <c r="AW192" s="6" t="s">
        <v>19</v>
      </c>
      <c r="AX192" s="6" t="s">
        <v>45</v>
      </c>
      <c r="AY192" s="106" t="s">
        <v>75</v>
      </c>
    </row>
    <row r="193" spans="1:65" s="7" customFormat="1" x14ac:dyDescent="0.2">
      <c r="B193" s="112"/>
      <c r="D193" s="99" t="s">
        <v>87</v>
      </c>
      <c r="E193" s="113" t="s">
        <v>0</v>
      </c>
      <c r="F193" s="114">
        <v>29.64</v>
      </c>
      <c r="H193" s="115">
        <v>29.64</v>
      </c>
      <c r="I193" s="116"/>
      <c r="L193" s="112"/>
      <c r="M193" s="117"/>
      <c r="N193" s="118"/>
      <c r="O193" s="118"/>
      <c r="P193" s="118"/>
      <c r="Q193" s="118"/>
      <c r="R193" s="118"/>
      <c r="S193" s="118"/>
      <c r="T193" s="119"/>
      <c r="AT193" s="113" t="s">
        <v>87</v>
      </c>
      <c r="AU193" s="113" t="s">
        <v>47</v>
      </c>
      <c r="AV193" s="7" t="s">
        <v>47</v>
      </c>
      <c r="AW193" s="7" t="s">
        <v>19</v>
      </c>
      <c r="AX193" s="7" t="s">
        <v>45</v>
      </c>
      <c r="AY193" s="113" t="s">
        <v>75</v>
      </c>
    </row>
    <row r="194" spans="1:65" s="6" customFormat="1" x14ac:dyDescent="0.2">
      <c r="B194" s="105"/>
      <c r="D194" s="99" t="s">
        <v>87</v>
      </c>
      <c r="E194" s="106" t="s">
        <v>0</v>
      </c>
      <c r="F194" s="107" t="s">
        <v>253</v>
      </c>
      <c r="H194" s="106" t="s">
        <v>0</v>
      </c>
      <c r="I194" s="108"/>
      <c r="L194" s="105"/>
      <c r="M194" s="109"/>
      <c r="N194" s="110"/>
      <c r="O194" s="110"/>
      <c r="P194" s="110"/>
      <c r="Q194" s="110"/>
      <c r="R194" s="110"/>
      <c r="S194" s="110"/>
      <c r="T194" s="111"/>
      <c r="AT194" s="106" t="s">
        <v>87</v>
      </c>
      <c r="AU194" s="106" t="s">
        <v>47</v>
      </c>
      <c r="AV194" s="6" t="s">
        <v>46</v>
      </c>
      <c r="AW194" s="6" t="s">
        <v>19</v>
      </c>
      <c r="AX194" s="6" t="s">
        <v>45</v>
      </c>
      <c r="AY194" s="106" t="s">
        <v>75</v>
      </c>
    </row>
    <row r="195" spans="1:65" s="7" customFormat="1" x14ac:dyDescent="0.2">
      <c r="B195" s="112"/>
      <c r="D195" s="99" t="s">
        <v>87</v>
      </c>
      <c r="E195" s="113" t="s">
        <v>0</v>
      </c>
      <c r="F195" s="114">
        <v>-2.964</v>
      </c>
      <c r="H195" s="115">
        <v>-2.964</v>
      </c>
      <c r="I195" s="116"/>
      <c r="L195" s="112"/>
      <c r="M195" s="117"/>
      <c r="N195" s="118"/>
      <c r="O195" s="118"/>
      <c r="P195" s="118"/>
      <c r="Q195" s="118"/>
      <c r="R195" s="118"/>
      <c r="S195" s="118"/>
      <c r="T195" s="119"/>
      <c r="AT195" s="113" t="s">
        <v>87</v>
      </c>
      <c r="AU195" s="113" t="s">
        <v>47</v>
      </c>
      <c r="AV195" s="7" t="s">
        <v>47</v>
      </c>
      <c r="AW195" s="7" t="s">
        <v>19</v>
      </c>
      <c r="AX195" s="7" t="s">
        <v>45</v>
      </c>
      <c r="AY195" s="113" t="s">
        <v>75</v>
      </c>
    </row>
    <row r="196" spans="1:65" s="9" customFormat="1" x14ac:dyDescent="0.2">
      <c r="B196" s="128"/>
      <c r="D196" s="99" t="s">
        <v>87</v>
      </c>
      <c r="E196" s="129" t="s">
        <v>0</v>
      </c>
      <c r="F196" s="130" t="s">
        <v>103</v>
      </c>
      <c r="H196" s="131">
        <f>H193+H195</f>
        <v>26.676000000000002</v>
      </c>
      <c r="I196" s="132"/>
      <c r="L196" s="128"/>
      <c r="M196" s="133"/>
      <c r="N196" s="134"/>
      <c r="O196" s="134"/>
      <c r="P196" s="134"/>
      <c r="Q196" s="134"/>
      <c r="R196" s="134"/>
      <c r="S196" s="134"/>
      <c r="T196" s="135"/>
      <c r="AT196" s="129" t="s">
        <v>87</v>
      </c>
      <c r="AU196" s="129" t="s">
        <v>47</v>
      </c>
      <c r="AV196" s="9" t="s">
        <v>83</v>
      </c>
      <c r="AW196" s="9" t="s">
        <v>19</v>
      </c>
      <c r="AX196" s="9" t="s">
        <v>46</v>
      </c>
      <c r="AY196" s="129" t="s">
        <v>75</v>
      </c>
    </row>
    <row r="197" spans="1:65" s="7" customFormat="1" x14ac:dyDescent="0.2">
      <c r="B197" s="112"/>
      <c r="D197" s="99" t="s">
        <v>87</v>
      </c>
      <c r="F197" s="114" t="s">
        <v>434</v>
      </c>
      <c r="H197" s="115">
        <f>H196*1.8</f>
        <v>48.016800000000003</v>
      </c>
      <c r="I197" s="116"/>
      <c r="L197" s="112"/>
      <c r="M197" s="117"/>
      <c r="N197" s="118"/>
      <c r="O197" s="118"/>
      <c r="P197" s="118"/>
      <c r="Q197" s="118"/>
      <c r="R197" s="118"/>
      <c r="S197" s="118"/>
      <c r="T197" s="119"/>
      <c r="AT197" s="113" t="s">
        <v>87</v>
      </c>
      <c r="AU197" s="113" t="s">
        <v>47</v>
      </c>
      <c r="AV197" s="7" t="s">
        <v>47</v>
      </c>
      <c r="AW197" s="7" t="s">
        <v>1</v>
      </c>
      <c r="AX197" s="7" t="s">
        <v>46</v>
      </c>
      <c r="AY197" s="113" t="s">
        <v>75</v>
      </c>
    </row>
    <row r="198" spans="1:65" s="1" customFormat="1" ht="24.2" customHeight="1" x14ac:dyDescent="0.2">
      <c r="A198" s="156"/>
      <c r="B198" s="85"/>
      <c r="C198" s="86" t="s">
        <v>108</v>
      </c>
      <c r="D198" s="86" t="s">
        <v>78</v>
      </c>
      <c r="E198" s="87" t="s">
        <v>121</v>
      </c>
      <c r="F198" s="88" t="s">
        <v>122</v>
      </c>
      <c r="G198" s="89" t="s">
        <v>81</v>
      </c>
      <c r="H198" s="90">
        <v>23.922999999999998</v>
      </c>
      <c r="I198" s="91">
        <v>140.64048227116101</v>
      </c>
      <c r="J198" s="92">
        <f>ROUND(I198*H198,2)</f>
        <v>3364.54</v>
      </c>
      <c r="K198" s="88" t="s">
        <v>82</v>
      </c>
      <c r="L198" s="16"/>
      <c r="M198" s="93" t="s">
        <v>0</v>
      </c>
      <c r="N198" s="94" t="s">
        <v>27</v>
      </c>
      <c r="O198" s="27"/>
      <c r="P198" s="95">
        <f>O198*H198</f>
        <v>0</v>
      </c>
      <c r="Q198" s="95">
        <v>0</v>
      </c>
      <c r="R198" s="95">
        <f>Q198*H198</f>
        <v>0</v>
      </c>
      <c r="S198" s="95">
        <v>0</v>
      </c>
      <c r="T198" s="96">
        <f>S198*H198</f>
        <v>0</v>
      </c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R198" s="97" t="s">
        <v>83</v>
      </c>
      <c r="AT198" s="97" t="s">
        <v>78</v>
      </c>
      <c r="AU198" s="97" t="s">
        <v>47</v>
      </c>
      <c r="AY198" s="10" t="s">
        <v>75</v>
      </c>
      <c r="BE198" s="98">
        <f>IF(N198="základní",J198,0)</f>
        <v>3364.54</v>
      </c>
      <c r="BF198" s="98">
        <f>IF(N198="snížená",J198,0)</f>
        <v>0</v>
      </c>
      <c r="BG198" s="98">
        <f>IF(N198="zákl. přenesená",J198,0)</f>
        <v>0</v>
      </c>
      <c r="BH198" s="98">
        <f>IF(N198="sníž. přenesená",J198,0)</f>
        <v>0</v>
      </c>
      <c r="BI198" s="98">
        <f>IF(N198="nulová",J198,0)</f>
        <v>0</v>
      </c>
      <c r="BJ198" s="10" t="s">
        <v>46</v>
      </c>
      <c r="BK198" s="98">
        <f>ROUND(I198*H198,2)</f>
        <v>3364.54</v>
      </c>
      <c r="BL198" s="10" t="s">
        <v>83</v>
      </c>
      <c r="BM198" s="97" t="s">
        <v>254</v>
      </c>
    </row>
    <row r="199" spans="1:65" s="1" customFormat="1" ht="29.25" x14ac:dyDescent="0.2">
      <c r="A199" s="156"/>
      <c r="B199" s="16"/>
      <c r="C199" s="156"/>
      <c r="D199" s="99" t="s">
        <v>84</v>
      </c>
      <c r="E199" s="156"/>
      <c r="F199" s="100" t="s">
        <v>123</v>
      </c>
      <c r="G199" s="156"/>
      <c r="H199" s="156"/>
      <c r="I199" s="101"/>
      <c r="J199" s="156"/>
      <c r="K199" s="156"/>
      <c r="L199" s="16"/>
      <c r="M199" s="102"/>
      <c r="N199" s="103"/>
      <c r="O199" s="27"/>
      <c r="P199" s="27"/>
      <c r="Q199" s="27"/>
      <c r="R199" s="27"/>
      <c r="S199" s="27"/>
      <c r="T199" s="28"/>
      <c r="U199" s="156"/>
      <c r="V199" s="156"/>
      <c r="W199" s="156"/>
      <c r="X199" s="156"/>
      <c r="Y199" s="156"/>
      <c r="Z199" s="156"/>
      <c r="AA199" s="156"/>
      <c r="AB199" s="156"/>
      <c r="AC199" s="156"/>
      <c r="AD199" s="156"/>
      <c r="AE199" s="156"/>
      <c r="AT199" s="10" t="s">
        <v>84</v>
      </c>
      <c r="AU199" s="10" t="s">
        <v>47</v>
      </c>
    </row>
    <row r="200" spans="1:65" s="6" customFormat="1" x14ac:dyDescent="0.2">
      <c r="B200" s="105"/>
      <c r="D200" s="99" t="s">
        <v>87</v>
      </c>
      <c r="E200" s="106" t="s">
        <v>0</v>
      </c>
      <c r="F200" s="107" t="s">
        <v>124</v>
      </c>
      <c r="H200" s="106" t="s">
        <v>0</v>
      </c>
      <c r="I200" s="108"/>
      <c r="L200" s="105"/>
      <c r="M200" s="109"/>
      <c r="N200" s="110"/>
      <c r="O200" s="110"/>
      <c r="P200" s="110"/>
      <c r="Q200" s="110"/>
      <c r="R200" s="110"/>
      <c r="S200" s="110"/>
      <c r="T200" s="111"/>
      <c r="AT200" s="106" t="s">
        <v>87</v>
      </c>
      <c r="AU200" s="106" t="s">
        <v>47</v>
      </c>
      <c r="AV200" s="6" t="s">
        <v>46</v>
      </c>
      <c r="AW200" s="6" t="s">
        <v>19</v>
      </c>
      <c r="AX200" s="6" t="s">
        <v>45</v>
      </c>
      <c r="AY200" s="106" t="s">
        <v>75</v>
      </c>
    </row>
    <row r="201" spans="1:65" s="7" customFormat="1" x14ac:dyDescent="0.2">
      <c r="B201" s="112"/>
      <c r="D201" s="99" t="s">
        <v>87</v>
      </c>
      <c r="E201" s="113" t="s">
        <v>0</v>
      </c>
      <c r="F201" s="114">
        <v>29.64</v>
      </c>
      <c r="H201" s="115">
        <v>29.64</v>
      </c>
      <c r="I201" s="116"/>
      <c r="L201" s="112"/>
      <c r="M201" s="117"/>
      <c r="N201" s="118"/>
      <c r="O201" s="118"/>
      <c r="P201" s="118"/>
      <c r="Q201" s="118"/>
      <c r="R201" s="118"/>
      <c r="S201" s="118"/>
      <c r="T201" s="119"/>
      <c r="AT201" s="113" t="s">
        <v>87</v>
      </c>
      <c r="AU201" s="113" t="s">
        <v>47</v>
      </c>
      <c r="AV201" s="7" t="s">
        <v>47</v>
      </c>
      <c r="AW201" s="7" t="s">
        <v>19</v>
      </c>
      <c r="AX201" s="7" t="s">
        <v>45</v>
      </c>
      <c r="AY201" s="113" t="s">
        <v>75</v>
      </c>
    </row>
    <row r="202" spans="1:65" s="6" customFormat="1" x14ac:dyDescent="0.2">
      <c r="B202" s="105"/>
      <c r="D202" s="99" t="s">
        <v>87</v>
      </c>
      <c r="E202" s="106" t="s">
        <v>0</v>
      </c>
      <c r="F202" s="107" t="s">
        <v>157</v>
      </c>
      <c r="H202" s="106" t="s">
        <v>0</v>
      </c>
      <c r="I202" s="108"/>
      <c r="L202" s="105"/>
      <c r="M202" s="109"/>
      <c r="N202" s="110"/>
      <c r="O202" s="110"/>
      <c r="P202" s="110"/>
      <c r="Q202" s="110"/>
      <c r="R202" s="110"/>
      <c r="S202" s="110"/>
      <c r="T202" s="111"/>
      <c r="AT202" s="106" t="s">
        <v>87</v>
      </c>
      <c r="AU202" s="106" t="s">
        <v>47</v>
      </c>
      <c r="AV202" s="6" t="s">
        <v>46</v>
      </c>
      <c r="AW202" s="6" t="s">
        <v>19</v>
      </c>
      <c r="AX202" s="6" t="s">
        <v>45</v>
      </c>
      <c r="AY202" s="106" t="s">
        <v>75</v>
      </c>
    </row>
    <row r="203" spans="1:65" s="7" customFormat="1" x14ac:dyDescent="0.2">
      <c r="B203" s="112"/>
      <c r="D203" s="99" t="s">
        <v>87</v>
      </c>
      <c r="E203" s="113" t="s">
        <v>0</v>
      </c>
      <c r="F203" s="114"/>
      <c r="H203" s="115">
        <f>-H217</f>
        <v>-7.9649999999999999</v>
      </c>
      <c r="I203" s="116"/>
      <c r="L203" s="112"/>
      <c r="M203" s="117"/>
      <c r="N203" s="118"/>
      <c r="O203" s="118"/>
      <c r="P203" s="118"/>
      <c r="Q203" s="118"/>
      <c r="R203" s="118"/>
      <c r="S203" s="118"/>
      <c r="T203" s="119"/>
      <c r="AT203" s="113" t="s">
        <v>87</v>
      </c>
      <c r="AU203" s="113" t="s">
        <v>47</v>
      </c>
      <c r="AV203" s="7" t="s">
        <v>47</v>
      </c>
      <c r="AW203" s="7" t="s">
        <v>19</v>
      </c>
      <c r="AX203" s="7" t="s">
        <v>45</v>
      </c>
      <c r="AY203" s="113" t="s">
        <v>75</v>
      </c>
    </row>
    <row r="204" spans="1:65" s="6" customFormat="1" x14ac:dyDescent="0.2">
      <c r="B204" s="105"/>
      <c r="D204" s="99" t="s">
        <v>87</v>
      </c>
      <c r="E204" s="106" t="s">
        <v>0</v>
      </c>
      <c r="F204" s="107" t="s">
        <v>158</v>
      </c>
      <c r="H204" s="106" t="s">
        <v>0</v>
      </c>
      <c r="I204" s="108"/>
      <c r="L204" s="105"/>
      <c r="M204" s="109"/>
      <c r="N204" s="110"/>
      <c r="O204" s="110"/>
      <c r="P204" s="110"/>
      <c r="Q204" s="110"/>
      <c r="R204" s="110"/>
      <c r="S204" s="110"/>
      <c r="T204" s="111"/>
      <c r="AT204" s="106" t="s">
        <v>87</v>
      </c>
      <c r="AU204" s="106" t="s">
        <v>47</v>
      </c>
      <c r="AV204" s="6" t="s">
        <v>46</v>
      </c>
      <c r="AW204" s="6" t="s">
        <v>19</v>
      </c>
      <c r="AX204" s="6" t="s">
        <v>45</v>
      </c>
      <c r="AY204" s="106" t="s">
        <v>75</v>
      </c>
    </row>
    <row r="205" spans="1:65" s="7" customFormat="1" x14ac:dyDescent="0.2">
      <c r="B205" s="112"/>
      <c r="D205" s="99" t="s">
        <v>87</v>
      </c>
      <c r="E205" s="113" t="s">
        <v>0</v>
      </c>
      <c r="F205" s="114"/>
      <c r="H205" s="115">
        <f>-H237</f>
        <v>-1.77</v>
      </c>
      <c r="I205" s="116"/>
      <c r="L205" s="112"/>
      <c r="M205" s="117"/>
      <c r="N205" s="118"/>
      <c r="O205" s="118"/>
      <c r="P205" s="118"/>
      <c r="Q205" s="118"/>
      <c r="R205" s="118"/>
      <c r="S205" s="118"/>
      <c r="T205" s="119"/>
      <c r="AT205" s="113" t="s">
        <v>87</v>
      </c>
      <c r="AU205" s="113" t="s">
        <v>47</v>
      </c>
      <c r="AV205" s="7" t="s">
        <v>47</v>
      </c>
      <c r="AW205" s="7" t="s">
        <v>19</v>
      </c>
      <c r="AX205" s="7" t="s">
        <v>45</v>
      </c>
      <c r="AY205" s="113" t="s">
        <v>75</v>
      </c>
    </row>
    <row r="206" spans="1:65" s="6" customFormat="1" x14ac:dyDescent="0.2">
      <c r="B206" s="105"/>
      <c r="D206" s="99" t="s">
        <v>87</v>
      </c>
      <c r="E206" s="106" t="s">
        <v>0</v>
      </c>
      <c r="F206" s="107" t="s">
        <v>159</v>
      </c>
      <c r="H206" s="106" t="s">
        <v>0</v>
      </c>
      <c r="I206" s="108"/>
      <c r="L206" s="105"/>
      <c r="M206" s="109"/>
      <c r="N206" s="110"/>
      <c r="O206" s="110"/>
      <c r="P206" s="110"/>
      <c r="Q206" s="110"/>
      <c r="R206" s="110"/>
      <c r="S206" s="110"/>
      <c r="T206" s="111"/>
      <c r="AT206" s="106" t="s">
        <v>87</v>
      </c>
      <c r="AU206" s="106" t="s">
        <v>47</v>
      </c>
      <c r="AV206" s="6" t="s">
        <v>46</v>
      </c>
      <c r="AW206" s="6" t="s">
        <v>19</v>
      </c>
      <c r="AX206" s="6" t="s">
        <v>45</v>
      </c>
      <c r="AY206" s="106" t="s">
        <v>75</v>
      </c>
    </row>
    <row r="207" spans="1:65" s="7" customFormat="1" x14ac:dyDescent="0.2">
      <c r="B207" s="112"/>
      <c r="D207" s="99" t="s">
        <v>87</v>
      </c>
      <c r="E207" s="113" t="s">
        <v>0</v>
      </c>
      <c r="F207" s="114"/>
      <c r="H207" s="115">
        <f>-H249</f>
        <v>-0.42099999999999999</v>
      </c>
      <c r="I207" s="116"/>
      <c r="L207" s="112"/>
      <c r="M207" s="117"/>
      <c r="N207" s="118"/>
      <c r="O207" s="118"/>
      <c r="P207" s="118"/>
      <c r="Q207" s="118"/>
      <c r="R207" s="118"/>
      <c r="S207" s="118"/>
      <c r="T207" s="119"/>
      <c r="AT207" s="113" t="s">
        <v>87</v>
      </c>
      <c r="AU207" s="113" t="s">
        <v>47</v>
      </c>
      <c r="AV207" s="7" t="s">
        <v>47</v>
      </c>
      <c r="AW207" s="7" t="s">
        <v>19</v>
      </c>
      <c r="AX207" s="7" t="s">
        <v>45</v>
      </c>
      <c r="AY207" s="113" t="s">
        <v>75</v>
      </c>
    </row>
    <row r="208" spans="1:65" s="7" customFormat="1" x14ac:dyDescent="0.2">
      <c r="B208" s="112"/>
      <c r="D208" s="99" t="s">
        <v>87</v>
      </c>
      <c r="E208" s="113" t="s">
        <v>0</v>
      </c>
      <c r="F208" s="114" t="s">
        <v>413</v>
      </c>
      <c r="H208" s="115">
        <f>-3.14*0.21*0.21*2.2*3</f>
        <v>-0.91392839999999997</v>
      </c>
      <c r="I208" s="116"/>
      <c r="L208" s="112"/>
      <c r="M208" s="117"/>
      <c r="N208" s="118"/>
      <c r="O208" s="118"/>
      <c r="P208" s="118"/>
      <c r="Q208" s="118"/>
      <c r="R208" s="118"/>
      <c r="S208" s="118"/>
      <c r="T208" s="119"/>
      <c r="AT208" s="113" t="s">
        <v>87</v>
      </c>
      <c r="AU208" s="113" t="s">
        <v>47</v>
      </c>
      <c r="AV208" s="7" t="s">
        <v>47</v>
      </c>
      <c r="AW208" s="7" t="s">
        <v>19</v>
      </c>
      <c r="AX208" s="7" t="s">
        <v>45</v>
      </c>
      <c r="AY208" s="113" t="s">
        <v>75</v>
      </c>
    </row>
    <row r="209" spans="1:65" s="7" customFormat="1" x14ac:dyDescent="0.2">
      <c r="B209" s="112"/>
      <c r="D209" s="99" t="s">
        <v>87</v>
      </c>
      <c r="E209" s="113" t="s">
        <v>0</v>
      </c>
      <c r="F209" s="114" t="s">
        <v>255</v>
      </c>
      <c r="H209" s="115">
        <f>-3.14*0.5*0.5*2.2*1</f>
        <v>-1.7270000000000003</v>
      </c>
      <c r="I209" s="116"/>
      <c r="L209" s="112"/>
      <c r="M209" s="117"/>
      <c r="N209" s="118"/>
      <c r="O209" s="118"/>
      <c r="P209" s="118"/>
      <c r="Q209" s="118"/>
      <c r="R209" s="118"/>
      <c r="S209" s="118"/>
      <c r="T209" s="119"/>
      <c r="AT209" s="113" t="s">
        <v>87</v>
      </c>
      <c r="AU209" s="113" t="s">
        <v>47</v>
      </c>
      <c r="AV209" s="7" t="s">
        <v>47</v>
      </c>
      <c r="AW209" s="7" t="s">
        <v>19</v>
      </c>
      <c r="AX209" s="7" t="s">
        <v>45</v>
      </c>
      <c r="AY209" s="113" t="s">
        <v>75</v>
      </c>
    </row>
    <row r="210" spans="1:65" s="7" customFormat="1" x14ac:dyDescent="0.2">
      <c r="B210" s="112"/>
      <c r="D210" s="99"/>
      <c r="E210" s="113"/>
      <c r="F210" s="107" t="s">
        <v>160</v>
      </c>
      <c r="G210" s="6"/>
      <c r="H210" s="106" t="s">
        <v>0</v>
      </c>
      <c r="I210" s="116"/>
      <c r="L210" s="112"/>
      <c r="M210" s="117"/>
      <c r="N210" s="118"/>
      <c r="O210" s="118"/>
      <c r="P210" s="118"/>
      <c r="Q210" s="118"/>
      <c r="R210" s="118"/>
      <c r="S210" s="118"/>
      <c r="T210" s="119"/>
      <c r="AT210" s="113"/>
      <c r="AU210" s="113"/>
      <c r="AY210" s="113"/>
    </row>
    <row r="211" spans="1:65" s="7" customFormat="1" x14ac:dyDescent="0.2">
      <c r="B211" s="112"/>
      <c r="D211" s="99"/>
      <c r="E211" s="113"/>
      <c r="F211" s="114" t="s">
        <v>438</v>
      </c>
      <c r="H211" s="115">
        <f>17.7*0.4</f>
        <v>7.08</v>
      </c>
      <c r="I211" s="116"/>
      <c r="L211" s="112"/>
      <c r="M211" s="117"/>
      <c r="N211" s="118"/>
      <c r="O211" s="118"/>
      <c r="P211" s="118"/>
      <c r="Q211" s="118"/>
      <c r="R211" s="118"/>
      <c r="S211" s="118"/>
      <c r="T211" s="119"/>
      <c r="AT211" s="113"/>
      <c r="AU211" s="113"/>
      <c r="AY211" s="113"/>
    </row>
    <row r="212" spans="1:65" s="9" customFormat="1" x14ac:dyDescent="0.2">
      <c r="B212" s="128"/>
      <c r="D212" s="99" t="s">
        <v>87</v>
      </c>
      <c r="E212" s="129" t="s">
        <v>0</v>
      </c>
      <c r="F212" s="130" t="s">
        <v>103</v>
      </c>
      <c r="H212" s="131">
        <f>SUM(H201:H211)</f>
        <v>23.9230716</v>
      </c>
      <c r="I212" s="132"/>
      <c r="L212" s="128"/>
      <c r="M212" s="133"/>
      <c r="N212" s="134"/>
      <c r="O212" s="134"/>
      <c r="P212" s="134"/>
      <c r="Q212" s="134"/>
      <c r="R212" s="134"/>
      <c r="S212" s="134"/>
      <c r="T212" s="135"/>
      <c r="AT212" s="129" t="s">
        <v>87</v>
      </c>
      <c r="AU212" s="129" t="s">
        <v>47</v>
      </c>
      <c r="AV212" s="9" t="s">
        <v>83</v>
      </c>
      <c r="AW212" s="9" t="s">
        <v>19</v>
      </c>
      <c r="AX212" s="9" t="s">
        <v>46</v>
      </c>
      <c r="AY212" s="129" t="s">
        <v>75</v>
      </c>
    </row>
    <row r="213" spans="1:65" s="1" customFormat="1" ht="14.45" customHeight="1" x14ac:dyDescent="0.2">
      <c r="A213" s="156"/>
      <c r="B213" s="85"/>
      <c r="C213" s="136" t="s">
        <v>112</v>
      </c>
      <c r="D213" s="136" t="s">
        <v>126</v>
      </c>
      <c r="E213" s="137" t="s">
        <v>127</v>
      </c>
      <c r="F213" s="138" t="s">
        <v>128</v>
      </c>
      <c r="G213" s="139" t="s">
        <v>119</v>
      </c>
      <c r="H213" s="140">
        <v>47.845999999999997</v>
      </c>
      <c r="I213" s="141">
        <v>390.0974172</v>
      </c>
      <c r="J213" s="142">
        <f>ROUND(I213*H213,2)</f>
        <v>18664.599999999999</v>
      </c>
      <c r="K213" s="138" t="s">
        <v>82</v>
      </c>
      <c r="L213" s="143"/>
      <c r="M213" s="144" t="s">
        <v>0</v>
      </c>
      <c r="N213" s="145" t="s">
        <v>27</v>
      </c>
      <c r="O213" s="27"/>
      <c r="P213" s="95">
        <f>O213*H213</f>
        <v>0</v>
      </c>
      <c r="Q213" s="95">
        <v>1</v>
      </c>
      <c r="R213" s="95">
        <f>Q213*H213</f>
        <v>47.845999999999997</v>
      </c>
      <c r="S213" s="95">
        <v>0</v>
      </c>
      <c r="T213" s="96">
        <f>S213*H213</f>
        <v>0</v>
      </c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R213" s="97" t="s">
        <v>129</v>
      </c>
      <c r="AT213" s="97" t="s">
        <v>126</v>
      </c>
      <c r="AU213" s="97" t="s">
        <v>47</v>
      </c>
      <c r="AY213" s="10" t="s">
        <v>75</v>
      </c>
      <c r="BE213" s="98">
        <f>IF(N213="základní",J213,0)</f>
        <v>18664.599999999999</v>
      </c>
      <c r="BF213" s="98">
        <f>IF(N213="snížená",J213,0)</f>
        <v>0</v>
      </c>
      <c r="BG213" s="98">
        <f>IF(N213="zákl. přenesená",J213,0)</f>
        <v>0</v>
      </c>
      <c r="BH213" s="98">
        <f>IF(N213="sníž. přenesená",J213,0)</f>
        <v>0</v>
      </c>
      <c r="BI213" s="98">
        <f>IF(N213="nulová",J213,0)</f>
        <v>0</v>
      </c>
      <c r="BJ213" s="10" t="s">
        <v>46</v>
      </c>
      <c r="BK213" s="98">
        <f>ROUND(I213*H213,2)</f>
        <v>18664.599999999999</v>
      </c>
      <c r="BL213" s="10" t="s">
        <v>83</v>
      </c>
      <c r="BM213" s="97" t="s">
        <v>256</v>
      </c>
    </row>
    <row r="214" spans="1:65" s="1" customFormat="1" x14ac:dyDescent="0.2">
      <c r="A214" s="156"/>
      <c r="B214" s="16"/>
      <c r="C214" s="156"/>
      <c r="D214" s="99" t="s">
        <v>84</v>
      </c>
      <c r="E214" s="156"/>
      <c r="F214" s="100" t="s">
        <v>128</v>
      </c>
      <c r="G214" s="156"/>
      <c r="H214" s="156"/>
      <c r="I214" s="101"/>
      <c r="J214" s="156"/>
      <c r="K214" s="156"/>
      <c r="L214" s="16"/>
      <c r="M214" s="102"/>
      <c r="N214" s="103"/>
      <c r="O214" s="27"/>
      <c r="P214" s="27"/>
      <c r="Q214" s="27"/>
      <c r="R214" s="27"/>
      <c r="S214" s="27"/>
      <c r="T214" s="28"/>
      <c r="U214" s="156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T214" s="10" t="s">
        <v>84</v>
      </c>
      <c r="AU214" s="10" t="s">
        <v>47</v>
      </c>
    </row>
    <row r="215" spans="1:65" s="1" customFormat="1" ht="19.5" x14ac:dyDescent="0.2">
      <c r="A215" s="156"/>
      <c r="B215" s="16"/>
      <c r="C215" s="156"/>
      <c r="D215" s="99" t="s">
        <v>86</v>
      </c>
      <c r="E215" s="156"/>
      <c r="F215" s="104" t="s">
        <v>130</v>
      </c>
      <c r="G215" s="156"/>
      <c r="H215" s="156"/>
      <c r="I215" s="101"/>
      <c r="J215" s="156"/>
      <c r="K215" s="156"/>
      <c r="L215" s="16"/>
      <c r="M215" s="102"/>
      <c r="N215" s="103"/>
      <c r="O215" s="27"/>
      <c r="P215" s="27"/>
      <c r="Q215" s="27"/>
      <c r="R215" s="27"/>
      <c r="S215" s="27"/>
      <c r="T215" s="28"/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T215" s="10" t="s">
        <v>86</v>
      </c>
      <c r="AU215" s="10" t="s">
        <v>47</v>
      </c>
    </row>
    <row r="216" spans="1:65" s="7" customFormat="1" x14ac:dyDescent="0.2">
      <c r="B216" s="112"/>
      <c r="D216" s="99" t="s">
        <v>87</v>
      </c>
      <c r="F216" s="114" t="s">
        <v>439</v>
      </c>
      <c r="H216" s="115">
        <f>H198*2</f>
        <v>47.845999999999997</v>
      </c>
      <c r="I216" s="116"/>
      <c r="L216" s="112"/>
      <c r="M216" s="117"/>
      <c r="N216" s="118"/>
      <c r="O216" s="118"/>
      <c r="P216" s="118"/>
      <c r="Q216" s="118"/>
      <c r="R216" s="118"/>
      <c r="S216" s="118"/>
      <c r="T216" s="119"/>
      <c r="AT216" s="113" t="s">
        <v>87</v>
      </c>
      <c r="AU216" s="113" t="s">
        <v>47</v>
      </c>
      <c r="AV216" s="7" t="s">
        <v>47</v>
      </c>
      <c r="AW216" s="7" t="s">
        <v>1</v>
      </c>
      <c r="AX216" s="7" t="s">
        <v>46</v>
      </c>
      <c r="AY216" s="113" t="s">
        <v>75</v>
      </c>
    </row>
    <row r="217" spans="1:65" s="1" customFormat="1" ht="24.2" customHeight="1" x14ac:dyDescent="0.2">
      <c r="A217" s="156"/>
      <c r="B217" s="85"/>
      <c r="C217" s="86" t="s">
        <v>139</v>
      </c>
      <c r="D217" s="86" t="s">
        <v>78</v>
      </c>
      <c r="E217" s="87" t="s">
        <v>162</v>
      </c>
      <c r="F217" s="88" t="s">
        <v>163</v>
      </c>
      <c r="G217" s="89" t="s">
        <v>81</v>
      </c>
      <c r="H217" s="90">
        <v>7.9649999999999999</v>
      </c>
      <c r="I217" s="91">
        <v>510.38291484661499</v>
      </c>
      <c r="J217" s="92">
        <f>ROUND(I217*H217,2)</f>
        <v>4065.2</v>
      </c>
      <c r="K217" s="88" t="s">
        <v>82</v>
      </c>
      <c r="L217" s="16"/>
      <c r="M217" s="93" t="s">
        <v>0</v>
      </c>
      <c r="N217" s="94" t="s">
        <v>27</v>
      </c>
      <c r="O217" s="27"/>
      <c r="P217" s="95">
        <f>O217*H217</f>
        <v>0</v>
      </c>
      <c r="Q217" s="95">
        <v>0</v>
      </c>
      <c r="R217" s="95">
        <f>Q217*H217</f>
        <v>0</v>
      </c>
      <c r="S217" s="95">
        <v>0</v>
      </c>
      <c r="T217" s="96">
        <f>S217*H217</f>
        <v>0</v>
      </c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R217" s="97" t="s">
        <v>83</v>
      </c>
      <c r="AT217" s="97" t="s">
        <v>78</v>
      </c>
      <c r="AU217" s="97" t="s">
        <v>47</v>
      </c>
      <c r="AY217" s="10" t="s">
        <v>75</v>
      </c>
      <c r="BE217" s="98">
        <f>IF(N217="základní",J217,0)</f>
        <v>4065.2</v>
      </c>
      <c r="BF217" s="98">
        <f>IF(N217="snížená",J217,0)</f>
        <v>0</v>
      </c>
      <c r="BG217" s="98">
        <f>IF(N217="zákl. přenesená",J217,0)</f>
        <v>0</v>
      </c>
      <c r="BH217" s="98">
        <f>IF(N217="sníž. přenesená",J217,0)</f>
        <v>0</v>
      </c>
      <c r="BI217" s="98">
        <f>IF(N217="nulová",J217,0)</f>
        <v>0</v>
      </c>
      <c r="BJ217" s="10" t="s">
        <v>46</v>
      </c>
      <c r="BK217" s="98">
        <f>ROUND(I217*H217,2)</f>
        <v>4065.2</v>
      </c>
      <c r="BL217" s="10" t="s">
        <v>83</v>
      </c>
      <c r="BM217" s="97" t="s">
        <v>257</v>
      </c>
    </row>
    <row r="218" spans="1:65" s="1" customFormat="1" ht="39" x14ac:dyDescent="0.2">
      <c r="A218" s="156"/>
      <c r="B218" s="16"/>
      <c r="C218" s="156"/>
      <c r="D218" s="99" t="s">
        <v>84</v>
      </c>
      <c r="E218" s="156"/>
      <c r="F218" s="100" t="s">
        <v>164</v>
      </c>
      <c r="G218" s="156"/>
      <c r="H218" s="156"/>
      <c r="I218" s="101"/>
      <c r="J218" s="156"/>
      <c r="K218" s="156"/>
      <c r="L218" s="16"/>
      <c r="M218" s="102"/>
      <c r="N218" s="103"/>
      <c r="O218" s="27"/>
      <c r="P218" s="27"/>
      <c r="Q218" s="27"/>
      <c r="R218" s="27"/>
      <c r="S218" s="27"/>
      <c r="T218" s="28"/>
      <c r="U218" s="156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T218" s="10" t="s">
        <v>84</v>
      </c>
      <c r="AU218" s="10" t="s">
        <v>47</v>
      </c>
    </row>
    <row r="219" spans="1:65" s="1" customFormat="1" ht="29.25" x14ac:dyDescent="0.2">
      <c r="A219" s="156"/>
      <c r="B219" s="16"/>
      <c r="C219" s="156"/>
      <c r="D219" s="99" t="s">
        <v>86</v>
      </c>
      <c r="E219" s="156"/>
      <c r="F219" s="104" t="s">
        <v>217</v>
      </c>
      <c r="G219" s="156"/>
      <c r="H219" s="156"/>
      <c r="I219" s="101"/>
      <c r="J219" s="156"/>
      <c r="K219" s="156"/>
      <c r="L219" s="16"/>
      <c r="M219" s="102"/>
      <c r="N219" s="103"/>
      <c r="O219" s="27"/>
      <c r="P219" s="27"/>
      <c r="Q219" s="27"/>
      <c r="R219" s="27"/>
      <c r="S219" s="27"/>
      <c r="T219" s="28"/>
      <c r="U219" s="156"/>
      <c r="V219" s="156"/>
      <c r="W219" s="156"/>
      <c r="X219" s="156"/>
      <c r="Y219" s="156"/>
      <c r="Z219" s="156"/>
      <c r="AA219" s="156"/>
      <c r="AB219" s="156"/>
      <c r="AC219" s="156"/>
      <c r="AD219" s="156"/>
      <c r="AE219" s="156"/>
      <c r="AT219" s="10" t="s">
        <v>86</v>
      </c>
      <c r="AU219" s="10" t="s">
        <v>47</v>
      </c>
    </row>
    <row r="220" spans="1:65" s="7" customFormat="1" x14ac:dyDescent="0.2">
      <c r="B220" s="112"/>
      <c r="D220" s="99" t="s">
        <v>87</v>
      </c>
      <c r="E220" s="113" t="s">
        <v>0</v>
      </c>
      <c r="F220" s="114" t="s">
        <v>435</v>
      </c>
      <c r="H220" s="115">
        <f>17.7*1*0.45</f>
        <v>7.9649999999999999</v>
      </c>
      <c r="I220" s="116"/>
      <c r="L220" s="112"/>
      <c r="M220" s="117"/>
      <c r="N220" s="118"/>
      <c r="O220" s="118"/>
      <c r="P220" s="118"/>
      <c r="Q220" s="118"/>
      <c r="R220" s="118"/>
      <c r="S220" s="118"/>
      <c r="T220" s="119"/>
      <c r="AT220" s="113" t="s">
        <v>87</v>
      </c>
      <c r="AU220" s="113" t="s">
        <v>47</v>
      </c>
      <c r="AV220" s="7" t="s">
        <v>47</v>
      </c>
      <c r="AW220" s="7" t="s">
        <v>19</v>
      </c>
      <c r="AX220" s="7" t="s">
        <v>46</v>
      </c>
      <c r="AY220" s="113" t="s">
        <v>75</v>
      </c>
    </row>
    <row r="221" spans="1:65" s="1" customFormat="1" ht="14.45" customHeight="1" x14ac:dyDescent="0.2">
      <c r="A221" s="156"/>
      <c r="B221" s="85"/>
      <c r="C221" s="136" t="s">
        <v>116</v>
      </c>
      <c r="D221" s="136" t="s">
        <v>126</v>
      </c>
      <c r="E221" s="137" t="s">
        <v>144</v>
      </c>
      <c r="F221" s="138" t="s">
        <v>145</v>
      </c>
      <c r="G221" s="139" t="s">
        <v>119</v>
      </c>
      <c r="H221" s="140">
        <v>15.93</v>
      </c>
      <c r="I221" s="141">
        <v>380.62816190000001</v>
      </c>
      <c r="J221" s="142">
        <f>ROUND(I221*H221,2)</f>
        <v>6063.41</v>
      </c>
      <c r="K221" s="138" t="s">
        <v>82</v>
      </c>
      <c r="L221" s="143"/>
      <c r="M221" s="144" t="s">
        <v>0</v>
      </c>
      <c r="N221" s="145" t="s">
        <v>27</v>
      </c>
      <c r="O221" s="27"/>
      <c r="P221" s="95">
        <f>O221*H221</f>
        <v>0</v>
      </c>
      <c r="Q221" s="95">
        <v>1</v>
      </c>
      <c r="R221" s="95">
        <f>Q221*H221</f>
        <v>15.93</v>
      </c>
      <c r="S221" s="95">
        <v>0</v>
      </c>
      <c r="T221" s="96">
        <f>S221*H221</f>
        <v>0</v>
      </c>
      <c r="U221" s="156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R221" s="97" t="s">
        <v>129</v>
      </c>
      <c r="AT221" s="97" t="s">
        <v>126</v>
      </c>
      <c r="AU221" s="97" t="s">
        <v>47</v>
      </c>
      <c r="AY221" s="10" t="s">
        <v>75</v>
      </c>
      <c r="BE221" s="98">
        <f>IF(N221="základní",J221,0)</f>
        <v>6063.41</v>
      </c>
      <c r="BF221" s="98">
        <f>IF(N221="snížená",J221,0)</f>
        <v>0</v>
      </c>
      <c r="BG221" s="98">
        <f>IF(N221="zákl. přenesená",J221,0)</f>
        <v>0</v>
      </c>
      <c r="BH221" s="98">
        <f>IF(N221="sníž. přenesená",J221,0)</f>
        <v>0</v>
      </c>
      <c r="BI221" s="98">
        <f>IF(N221="nulová",J221,0)</f>
        <v>0</v>
      </c>
      <c r="BJ221" s="10" t="s">
        <v>46</v>
      </c>
      <c r="BK221" s="98">
        <f>ROUND(I221*H221,2)</f>
        <v>6063.41</v>
      </c>
      <c r="BL221" s="10" t="s">
        <v>83</v>
      </c>
      <c r="BM221" s="97" t="s">
        <v>258</v>
      </c>
    </row>
    <row r="222" spans="1:65" s="1" customFormat="1" x14ac:dyDescent="0.2">
      <c r="A222" s="156"/>
      <c r="B222" s="16"/>
      <c r="C222" s="156"/>
      <c r="D222" s="99" t="s">
        <v>84</v>
      </c>
      <c r="E222" s="156"/>
      <c r="F222" s="100" t="s">
        <v>145</v>
      </c>
      <c r="G222" s="156"/>
      <c r="H222" s="156"/>
      <c r="I222" s="101"/>
      <c r="J222" s="156"/>
      <c r="K222" s="156"/>
      <c r="L222" s="16"/>
      <c r="M222" s="102"/>
      <c r="N222" s="103"/>
      <c r="O222" s="27"/>
      <c r="P222" s="27"/>
      <c r="Q222" s="27"/>
      <c r="R222" s="27"/>
      <c r="S222" s="27"/>
      <c r="T222" s="28"/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T222" s="10" t="s">
        <v>84</v>
      </c>
      <c r="AU222" s="10" t="s">
        <v>47</v>
      </c>
    </row>
    <row r="223" spans="1:65" s="7" customFormat="1" x14ac:dyDescent="0.2">
      <c r="B223" s="112"/>
      <c r="D223" s="99" t="s">
        <v>87</v>
      </c>
      <c r="F223" s="114" t="s">
        <v>440</v>
      </c>
      <c r="H223" s="115">
        <f>7.965*2</f>
        <v>15.93</v>
      </c>
      <c r="I223" s="116"/>
      <c r="L223" s="112"/>
      <c r="M223" s="117"/>
      <c r="N223" s="118"/>
      <c r="O223" s="118"/>
      <c r="P223" s="118"/>
      <c r="Q223" s="118"/>
      <c r="R223" s="118"/>
      <c r="S223" s="118"/>
      <c r="T223" s="119"/>
      <c r="AT223" s="113" t="s">
        <v>87</v>
      </c>
      <c r="AU223" s="113" t="s">
        <v>47</v>
      </c>
      <c r="AV223" s="7" t="s">
        <v>47</v>
      </c>
      <c r="AW223" s="7" t="s">
        <v>1</v>
      </c>
      <c r="AX223" s="7" t="s">
        <v>46</v>
      </c>
      <c r="AY223" s="113" t="s">
        <v>75</v>
      </c>
    </row>
    <row r="224" spans="1:65" s="1" customFormat="1" ht="24.2" customHeight="1" x14ac:dyDescent="0.2">
      <c r="A224" s="156"/>
      <c r="B224" s="85"/>
      <c r="C224" s="86" t="s">
        <v>3</v>
      </c>
      <c r="D224" s="86" t="s">
        <v>78</v>
      </c>
      <c r="E224" s="87" t="s">
        <v>259</v>
      </c>
      <c r="F224" s="88" t="s">
        <v>260</v>
      </c>
      <c r="G224" s="89" t="s">
        <v>100</v>
      </c>
      <c r="H224" s="90">
        <v>5.31</v>
      </c>
      <c r="I224" s="91">
        <v>64.410667599999996</v>
      </c>
      <c r="J224" s="92">
        <f>ROUND(I224*H224,2)</f>
        <v>342.02</v>
      </c>
      <c r="K224" s="88" t="s">
        <v>0</v>
      </c>
      <c r="L224" s="16"/>
      <c r="M224" s="93" t="s">
        <v>0</v>
      </c>
      <c r="N224" s="94" t="s">
        <v>27</v>
      </c>
      <c r="O224" s="27"/>
      <c r="P224" s="95">
        <f>O224*H224</f>
        <v>0</v>
      </c>
      <c r="Q224" s="95">
        <v>0</v>
      </c>
      <c r="R224" s="95">
        <f>Q224*H224</f>
        <v>0</v>
      </c>
      <c r="S224" s="95">
        <v>0</v>
      </c>
      <c r="T224" s="96">
        <f>S224*H224</f>
        <v>0</v>
      </c>
      <c r="U224" s="156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R224" s="97" t="s">
        <v>83</v>
      </c>
      <c r="AT224" s="97" t="s">
        <v>78</v>
      </c>
      <c r="AU224" s="97" t="s">
        <v>47</v>
      </c>
      <c r="AY224" s="10" t="s">
        <v>75</v>
      </c>
      <c r="BE224" s="98">
        <f>IF(N224="základní",J224,0)</f>
        <v>342.02</v>
      </c>
      <c r="BF224" s="98">
        <f>IF(N224="snížená",J224,0)</f>
        <v>0</v>
      </c>
      <c r="BG224" s="98">
        <f>IF(N224="zákl. přenesená",J224,0)</f>
        <v>0</v>
      </c>
      <c r="BH224" s="98">
        <f>IF(N224="sníž. přenesená",J224,0)</f>
        <v>0</v>
      </c>
      <c r="BI224" s="98">
        <f>IF(N224="nulová",J224,0)</f>
        <v>0</v>
      </c>
      <c r="BJ224" s="10" t="s">
        <v>46</v>
      </c>
      <c r="BK224" s="98">
        <f>ROUND(I224*H224,2)</f>
        <v>342.02</v>
      </c>
      <c r="BL224" s="10" t="s">
        <v>83</v>
      </c>
      <c r="BM224" s="97" t="s">
        <v>261</v>
      </c>
    </row>
    <row r="225" spans="1:65" s="1" customFormat="1" x14ac:dyDescent="0.2">
      <c r="A225" s="156"/>
      <c r="B225" s="16"/>
      <c r="C225" s="156"/>
      <c r="D225" s="99" t="s">
        <v>84</v>
      </c>
      <c r="E225" s="156"/>
      <c r="F225" s="100" t="s">
        <v>260</v>
      </c>
      <c r="G225" s="156"/>
      <c r="H225" s="156"/>
      <c r="I225" s="101"/>
      <c r="J225" s="156"/>
      <c r="K225" s="156"/>
      <c r="L225" s="16"/>
      <c r="M225" s="102"/>
      <c r="N225" s="103"/>
      <c r="O225" s="27"/>
      <c r="P225" s="27"/>
      <c r="Q225" s="27"/>
      <c r="R225" s="27"/>
      <c r="S225" s="27"/>
      <c r="T225" s="28"/>
      <c r="U225" s="156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T225" s="10" t="s">
        <v>84</v>
      </c>
      <c r="AU225" s="10" t="s">
        <v>47</v>
      </c>
    </row>
    <row r="226" spans="1:65" s="1" customFormat="1" ht="24.2" customHeight="1" x14ac:dyDescent="0.2">
      <c r="A226" s="156"/>
      <c r="B226" s="85"/>
      <c r="C226" s="86" t="s">
        <v>125</v>
      </c>
      <c r="D226" s="86" t="s">
        <v>78</v>
      </c>
      <c r="E226" s="87" t="s">
        <v>262</v>
      </c>
      <c r="F226" s="88" t="s">
        <v>263</v>
      </c>
      <c r="G226" s="89" t="s">
        <v>100</v>
      </c>
      <c r="H226" s="90">
        <v>5.31</v>
      </c>
      <c r="I226" s="91">
        <v>48.300657632010001</v>
      </c>
      <c r="J226" s="92">
        <f>ROUND(I226*H226,2)</f>
        <v>256.48</v>
      </c>
      <c r="K226" s="88" t="s">
        <v>82</v>
      </c>
      <c r="L226" s="16"/>
      <c r="M226" s="93" t="s">
        <v>0</v>
      </c>
      <c r="N226" s="94" t="s">
        <v>27</v>
      </c>
      <c r="O226" s="27"/>
      <c r="P226" s="95">
        <f>O226*H226</f>
        <v>0</v>
      </c>
      <c r="Q226" s="95">
        <v>0</v>
      </c>
      <c r="R226" s="95">
        <f>Q226*H226</f>
        <v>0</v>
      </c>
      <c r="S226" s="95">
        <v>0</v>
      </c>
      <c r="T226" s="96">
        <f>S226*H226</f>
        <v>0</v>
      </c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R226" s="97" t="s">
        <v>83</v>
      </c>
      <c r="AT226" s="97" t="s">
        <v>78</v>
      </c>
      <c r="AU226" s="97" t="s">
        <v>47</v>
      </c>
      <c r="AY226" s="10" t="s">
        <v>75</v>
      </c>
      <c r="BE226" s="98">
        <f>IF(N226="základní",J226,0)</f>
        <v>256.48</v>
      </c>
      <c r="BF226" s="98">
        <f>IF(N226="snížená",J226,0)</f>
        <v>0</v>
      </c>
      <c r="BG226" s="98">
        <f>IF(N226="zákl. přenesená",J226,0)</f>
        <v>0</v>
      </c>
      <c r="BH226" s="98">
        <f>IF(N226="sníž. přenesená",J226,0)</f>
        <v>0</v>
      </c>
      <c r="BI226" s="98">
        <f>IF(N226="nulová",J226,0)</f>
        <v>0</v>
      </c>
      <c r="BJ226" s="10" t="s">
        <v>46</v>
      </c>
      <c r="BK226" s="98">
        <f>ROUND(I226*H226,2)</f>
        <v>256.48</v>
      </c>
      <c r="BL226" s="10" t="s">
        <v>83</v>
      </c>
      <c r="BM226" s="97" t="s">
        <v>264</v>
      </c>
    </row>
    <row r="227" spans="1:65" s="1" customFormat="1" ht="29.25" x14ac:dyDescent="0.2">
      <c r="A227" s="156"/>
      <c r="B227" s="16"/>
      <c r="C227" s="156"/>
      <c r="D227" s="99" t="s">
        <v>84</v>
      </c>
      <c r="E227" s="156"/>
      <c r="F227" s="100" t="s">
        <v>265</v>
      </c>
      <c r="G227" s="156"/>
      <c r="H227" s="156"/>
      <c r="I227" s="101"/>
      <c r="J227" s="156"/>
      <c r="K227" s="156"/>
      <c r="L227" s="16"/>
      <c r="M227" s="102"/>
      <c r="N227" s="103"/>
      <c r="O227" s="27"/>
      <c r="P227" s="27"/>
      <c r="Q227" s="27"/>
      <c r="R227" s="27"/>
      <c r="S227" s="27"/>
      <c r="T227" s="28"/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T227" s="10" t="s">
        <v>84</v>
      </c>
      <c r="AU227" s="10" t="s">
        <v>47</v>
      </c>
    </row>
    <row r="228" spans="1:65" s="1" customFormat="1" ht="24.2" customHeight="1" x14ac:dyDescent="0.2">
      <c r="A228" s="156"/>
      <c r="B228" s="85"/>
      <c r="C228" s="86" t="s">
        <v>141</v>
      </c>
      <c r="D228" s="86" t="s">
        <v>78</v>
      </c>
      <c r="E228" s="87" t="s">
        <v>132</v>
      </c>
      <c r="F228" s="88" t="s">
        <v>133</v>
      </c>
      <c r="G228" s="89" t="s">
        <v>119</v>
      </c>
      <c r="H228" s="90">
        <v>63.776000000000003</v>
      </c>
      <c r="I228" s="91">
        <v>61.737071122597108</v>
      </c>
      <c r="J228" s="92">
        <f>ROUND(I228*H228,2)</f>
        <v>3937.34</v>
      </c>
      <c r="K228" s="88" t="s">
        <v>82</v>
      </c>
      <c r="L228" s="16"/>
      <c r="M228" s="93" t="s">
        <v>0</v>
      </c>
      <c r="N228" s="94" t="s">
        <v>27</v>
      </c>
      <c r="O228" s="27"/>
      <c r="P228" s="95">
        <f>O228*H228</f>
        <v>0</v>
      </c>
      <c r="Q228" s="95">
        <v>0</v>
      </c>
      <c r="R228" s="95">
        <f>Q228*H228</f>
        <v>0</v>
      </c>
      <c r="S228" s="95">
        <v>0</v>
      </c>
      <c r="T228" s="96">
        <f>S228*H228</f>
        <v>0</v>
      </c>
      <c r="U228" s="156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R228" s="97" t="s">
        <v>83</v>
      </c>
      <c r="AT228" s="97" t="s">
        <v>78</v>
      </c>
      <c r="AU228" s="97" t="s">
        <v>47</v>
      </c>
      <c r="AY228" s="10" t="s">
        <v>75</v>
      </c>
      <c r="BE228" s="98">
        <f>IF(N228="základní",J228,0)</f>
        <v>3937.34</v>
      </c>
      <c r="BF228" s="98">
        <f>IF(N228="snížená",J228,0)</f>
        <v>0</v>
      </c>
      <c r="BG228" s="98">
        <f>IF(N228="zákl. přenesená",J228,0)</f>
        <v>0</v>
      </c>
      <c r="BH228" s="98">
        <f>IF(N228="sníž. přenesená",J228,0)</f>
        <v>0</v>
      </c>
      <c r="BI228" s="98">
        <f>IF(N228="nulová",J228,0)</f>
        <v>0</v>
      </c>
      <c r="BJ228" s="10" t="s">
        <v>46</v>
      </c>
      <c r="BK228" s="98">
        <f>ROUND(I228*H228,2)</f>
        <v>3937.34</v>
      </c>
      <c r="BL228" s="10" t="s">
        <v>83</v>
      </c>
      <c r="BM228" s="97" t="s">
        <v>266</v>
      </c>
    </row>
    <row r="229" spans="1:65" s="1" customFormat="1" ht="29.25" x14ac:dyDescent="0.2">
      <c r="A229" s="156"/>
      <c r="B229" s="16"/>
      <c r="C229" s="156"/>
      <c r="D229" s="99" t="s">
        <v>84</v>
      </c>
      <c r="E229" s="156"/>
      <c r="F229" s="100" t="s">
        <v>134</v>
      </c>
      <c r="G229" s="156"/>
      <c r="H229" s="156"/>
      <c r="I229" s="101"/>
      <c r="J229" s="156"/>
      <c r="K229" s="156"/>
      <c r="L229" s="16"/>
      <c r="M229" s="102"/>
      <c r="N229" s="103"/>
      <c r="O229" s="27"/>
      <c r="P229" s="27"/>
      <c r="Q229" s="27"/>
      <c r="R229" s="27"/>
      <c r="S229" s="27"/>
      <c r="T229" s="28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T229" s="10" t="s">
        <v>84</v>
      </c>
      <c r="AU229" s="10" t="s">
        <v>47</v>
      </c>
    </row>
    <row r="230" spans="1:65" s="7" customFormat="1" x14ac:dyDescent="0.2">
      <c r="B230" s="112"/>
      <c r="D230" s="99" t="s">
        <v>87</v>
      </c>
      <c r="E230" s="113" t="s">
        <v>0</v>
      </c>
      <c r="F230" s="114" t="s">
        <v>441</v>
      </c>
      <c r="H230" s="115">
        <f>47.846+15.93</f>
        <v>63.775999999999996</v>
      </c>
      <c r="I230" s="116"/>
      <c r="L230" s="112"/>
      <c r="M230" s="117"/>
      <c r="N230" s="118"/>
      <c r="O230" s="118"/>
      <c r="P230" s="118"/>
      <c r="Q230" s="118"/>
      <c r="R230" s="118"/>
      <c r="S230" s="118"/>
      <c r="T230" s="119"/>
      <c r="AT230" s="113" t="s">
        <v>87</v>
      </c>
      <c r="AU230" s="113" t="s">
        <v>47</v>
      </c>
      <c r="AV230" s="7" t="s">
        <v>47</v>
      </c>
      <c r="AW230" s="7" t="s">
        <v>19</v>
      </c>
      <c r="AX230" s="7" t="s">
        <v>46</v>
      </c>
      <c r="AY230" s="113" t="s">
        <v>75</v>
      </c>
    </row>
    <row r="231" spans="1:65" s="5" customFormat="1" ht="22.9" customHeight="1" x14ac:dyDescent="0.2">
      <c r="B231" s="72"/>
      <c r="D231" s="73" t="s">
        <v>44</v>
      </c>
      <c r="E231" s="83" t="s">
        <v>47</v>
      </c>
      <c r="F231" s="83" t="s">
        <v>267</v>
      </c>
      <c r="I231" s="75"/>
      <c r="J231" s="84">
        <f>BK231</f>
        <v>4674.01</v>
      </c>
      <c r="L231" s="72"/>
      <c r="M231" s="77"/>
      <c r="N231" s="78"/>
      <c r="O231" s="78"/>
      <c r="P231" s="79">
        <f>SUM(P232:P235)</f>
        <v>0</v>
      </c>
      <c r="Q231" s="78"/>
      <c r="R231" s="79">
        <f>SUM(R232:R235)</f>
        <v>3.6230130000000003</v>
      </c>
      <c r="S231" s="78"/>
      <c r="T231" s="80">
        <f>SUM(T232:T235)</f>
        <v>0</v>
      </c>
      <c r="AR231" s="73" t="s">
        <v>46</v>
      </c>
      <c r="AT231" s="81" t="s">
        <v>44</v>
      </c>
      <c r="AU231" s="81" t="s">
        <v>46</v>
      </c>
      <c r="AY231" s="73" t="s">
        <v>75</v>
      </c>
      <c r="BK231" s="82">
        <f>SUM(BK232:BK235)</f>
        <v>4674.01</v>
      </c>
    </row>
    <row r="232" spans="1:65" s="1" customFormat="1" ht="37.9" customHeight="1" x14ac:dyDescent="0.2">
      <c r="A232" s="156"/>
      <c r="B232" s="85"/>
      <c r="C232" s="86" t="s">
        <v>161</v>
      </c>
      <c r="D232" s="86" t="s">
        <v>78</v>
      </c>
      <c r="E232" s="87" t="s">
        <v>268</v>
      </c>
      <c r="F232" s="88" t="s">
        <v>269</v>
      </c>
      <c r="G232" s="89" t="s">
        <v>270</v>
      </c>
      <c r="H232" s="90">
        <v>17.7</v>
      </c>
      <c r="I232" s="91">
        <v>264.06831423630393</v>
      </c>
      <c r="J232" s="92">
        <f>ROUND(I232*H232,2)</f>
        <v>4674.01</v>
      </c>
      <c r="K232" s="88" t="s">
        <v>82</v>
      </c>
      <c r="L232" s="16"/>
      <c r="M232" s="93" t="s">
        <v>0</v>
      </c>
      <c r="N232" s="94" t="s">
        <v>27</v>
      </c>
      <c r="O232" s="27"/>
      <c r="P232" s="95">
        <f>O232*H232</f>
        <v>0</v>
      </c>
      <c r="Q232" s="95">
        <v>0.20469000000000001</v>
      </c>
      <c r="R232" s="95">
        <f>Q232*H232</f>
        <v>3.6230130000000003</v>
      </c>
      <c r="S232" s="95">
        <v>0</v>
      </c>
      <c r="T232" s="96">
        <f>S232*H232</f>
        <v>0</v>
      </c>
      <c r="U232" s="156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R232" s="97" t="s">
        <v>83</v>
      </c>
      <c r="AT232" s="97" t="s">
        <v>78</v>
      </c>
      <c r="AU232" s="97" t="s">
        <v>47</v>
      </c>
      <c r="AY232" s="10" t="s">
        <v>75</v>
      </c>
      <c r="BE232" s="98">
        <f>IF(N232="základní",J232,0)</f>
        <v>4674.01</v>
      </c>
      <c r="BF232" s="98">
        <f>IF(N232="snížená",J232,0)</f>
        <v>0</v>
      </c>
      <c r="BG232" s="98">
        <f>IF(N232="zákl. přenesená",J232,0)</f>
        <v>0</v>
      </c>
      <c r="BH232" s="98">
        <f>IF(N232="sníž. přenesená",J232,0)</f>
        <v>0</v>
      </c>
      <c r="BI232" s="98">
        <f>IF(N232="nulová",J232,0)</f>
        <v>0</v>
      </c>
      <c r="BJ232" s="10" t="s">
        <v>46</v>
      </c>
      <c r="BK232" s="98">
        <f>ROUND(I232*H232,2)</f>
        <v>4674.01</v>
      </c>
      <c r="BL232" s="10" t="s">
        <v>83</v>
      </c>
      <c r="BM232" s="97" t="s">
        <v>271</v>
      </c>
    </row>
    <row r="233" spans="1:65" s="1" customFormat="1" ht="39" x14ac:dyDescent="0.2">
      <c r="A233" s="156"/>
      <c r="B233" s="16"/>
      <c r="C233" s="156"/>
      <c r="D233" s="99" t="s">
        <v>84</v>
      </c>
      <c r="E233" s="156"/>
      <c r="F233" s="100" t="s">
        <v>272</v>
      </c>
      <c r="G233" s="156"/>
      <c r="H233" s="156"/>
      <c r="I233" s="101"/>
      <c r="J233" s="156"/>
      <c r="K233" s="156"/>
      <c r="L233" s="16"/>
      <c r="M233" s="102"/>
      <c r="N233" s="103"/>
      <c r="O233" s="27"/>
      <c r="P233" s="27"/>
      <c r="Q233" s="27"/>
      <c r="R233" s="27"/>
      <c r="S233" s="27"/>
      <c r="T233" s="28"/>
      <c r="U233" s="156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T233" s="10" t="s">
        <v>84</v>
      </c>
      <c r="AU233" s="10" t="s">
        <v>47</v>
      </c>
    </row>
    <row r="234" spans="1:65" s="1" customFormat="1" ht="29.25" x14ac:dyDescent="0.2">
      <c r="A234" s="156"/>
      <c r="B234" s="16"/>
      <c r="C234" s="156"/>
      <c r="D234" s="99" t="s">
        <v>86</v>
      </c>
      <c r="E234" s="156"/>
      <c r="F234" s="104" t="s">
        <v>217</v>
      </c>
      <c r="G234" s="156"/>
      <c r="H234" s="156"/>
      <c r="I234" s="101"/>
      <c r="J234" s="156"/>
      <c r="K234" s="156"/>
      <c r="L234" s="16"/>
      <c r="M234" s="102"/>
      <c r="N234" s="103"/>
      <c r="O234" s="27"/>
      <c r="P234" s="27"/>
      <c r="Q234" s="27"/>
      <c r="R234" s="27"/>
      <c r="S234" s="27"/>
      <c r="T234" s="28"/>
      <c r="U234" s="156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T234" s="10" t="s">
        <v>86</v>
      </c>
      <c r="AU234" s="10" t="s">
        <v>47</v>
      </c>
    </row>
    <row r="235" spans="1:65" s="7" customFormat="1" x14ac:dyDescent="0.2">
      <c r="B235" s="112"/>
      <c r="D235" s="99" t="s">
        <v>87</v>
      </c>
      <c r="E235" s="113" t="s">
        <v>0</v>
      </c>
      <c r="F235" s="114">
        <v>17.7</v>
      </c>
      <c r="H235" s="115">
        <v>0</v>
      </c>
      <c r="I235" s="116"/>
      <c r="L235" s="112"/>
      <c r="M235" s="117"/>
      <c r="N235" s="118"/>
      <c r="O235" s="118"/>
      <c r="P235" s="118"/>
      <c r="Q235" s="118"/>
      <c r="R235" s="118"/>
      <c r="S235" s="118"/>
      <c r="T235" s="119"/>
      <c r="AT235" s="113" t="s">
        <v>87</v>
      </c>
      <c r="AU235" s="113" t="s">
        <v>47</v>
      </c>
      <c r="AV235" s="7" t="s">
        <v>47</v>
      </c>
      <c r="AW235" s="7" t="s">
        <v>19</v>
      </c>
      <c r="AX235" s="7" t="s">
        <v>46</v>
      </c>
      <c r="AY235" s="113" t="s">
        <v>75</v>
      </c>
    </row>
    <row r="236" spans="1:65" s="5" customFormat="1" ht="22.9" customHeight="1" x14ac:dyDescent="0.2">
      <c r="B236" s="72"/>
      <c r="D236" s="73" t="s">
        <v>44</v>
      </c>
      <c r="E236" s="83" t="s">
        <v>83</v>
      </c>
      <c r="F236" s="83" t="s">
        <v>274</v>
      </c>
      <c r="I236" s="75"/>
      <c r="J236" s="84">
        <f>BK236</f>
        <v>3973.21</v>
      </c>
      <c r="L236" s="72"/>
      <c r="M236" s="77"/>
      <c r="N236" s="78"/>
      <c r="O236" s="78"/>
      <c r="P236" s="79">
        <f>SUM(P237:P256)</f>
        <v>0</v>
      </c>
      <c r="Q236" s="78"/>
      <c r="R236" s="79">
        <f>SUM(R237:R256)</f>
        <v>0</v>
      </c>
      <c r="S236" s="78"/>
      <c r="T236" s="80">
        <f>SUM(T237:T256)</f>
        <v>0</v>
      </c>
      <c r="AR236" s="73" t="s">
        <v>46</v>
      </c>
      <c r="AT236" s="81" t="s">
        <v>44</v>
      </c>
      <c r="AU236" s="81" t="s">
        <v>46</v>
      </c>
      <c r="AY236" s="73" t="s">
        <v>75</v>
      </c>
      <c r="BK236" s="82">
        <f>SUM(BK237:BK256)</f>
        <v>3973.21</v>
      </c>
    </row>
    <row r="237" spans="1:65" s="1" customFormat="1" ht="14.45" customHeight="1" x14ac:dyDescent="0.2">
      <c r="A237" s="156"/>
      <c r="B237" s="85"/>
      <c r="C237" s="86" t="s">
        <v>131</v>
      </c>
      <c r="D237" s="86" t="s">
        <v>78</v>
      </c>
      <c r="E237" s="87" t="s">
        <v>166</v>
      </c>
      <c r="F237" s="88" t="s">
        <v>167</v>
      </c>
      <c r="G237" s="89" t="s">
        <v>81</v>
      </c>
      <c r="H237" s="90">
        <v>1.77</v>
      </c>
      <c r="I237" s="91">
        <v>1200.17173250368</v>
      </c>
      <c r="J237" s="92">
        <f>ROUND(I237*H237,2)</f>
        <v>2124.3000000000002</v>
      </c>
      <c r="K237" s="88" t="s">
        <v>82</v>
      </c>
      <c r="L237" s="16"/>
      <c r="M237" s="93" t="s">
        <v>0</v>
      </c>
      <c r="N237" s="94" t="s">
        <v>27</v>
      </c>
      <c r="O237" s="27"/>
      <c r="P237" s="95">
        <f>O237*H237</f>
        <v>0</v>
      </c>
      <c r="Q237" s="95">
        <v>0</v>
      </c>
      <c r="R237" s="95">
        <f>Q237*H237</f>
        <v>0</v>
      </c>
      <c r="S237" s="95">
        <v>0</v>
      </c>
      <c r="T237" s="96">
        <f>S237*H237</f>
        <v>0</v>
      </c>
      <c r="U237" s="156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R237" s="97" t="s">
        <v>83</v>
      </c>
      <c r="AT237" s="97" t="s">
        <v>78</v>
      </c>
      <c r="AU237" s="97" t="s">
        <v>47</v>
      </c>
      <c r="AY237" s="10" t="s">
        <v>75</v>
      </c>
      <c r="BE237" s="98">
        <f>IF(N237="základní",J237,0)</f>
        <v>2124.3000000000002</v>
      </c>
      <c r="BF237" s="98">
        <f>IF(N237="snížená",J237,0)</f>
        <v>0</v>
      </c>
      <c r="BG237" s="98">
        <f>IF(N237="zákl. přenesená",J237,0)</f>
        <v>0</v>
      </c>
      <c r="BH237" s="98">
        <f>IF(N237="sníž. přenesená",J237,0)</f>
        <v>0</v>
      </c>
      <c r="BI237" s="98">
        <f>IF(N237="nulová",J237,0)</f>
        <v>0</v>
      </c>
      <c r="BJ237" s="10" t="s">
        <v>46</v>
      </c>
      <c r="BK237" s="98">
        <f>ROUND(I237*H237,2)</f>
        <v>2124.3000000000002</v>
      </c>
      <c r="BL237" s="10" t="s">
        <v>83</v>
      </c>
      <c r="BM237" s="97" t="s">
        <v>275</v>
      </c>
    </row>
    <row r="238" spans="1:65" s="1" customFormat="1" ht="19.5" x14ac:dyDescent="0.2">
      <c r="A238" s="156"/>
      <c r="B238" s="16"/>
      <c r="C238" s="156"/>
      <c r="D238" s="99" t="s">
        <v>84</v>
      </c>
      <c r="E238" s="156"/>
      <c r="F238" s="100" t="s">
        <v>168</v>
      </c>
      <c r="G238" s="156"/>
      <c r="H238" s="156"/>
      <c r="I238" s="101"/>
      <c r="J238" s="156"/>
      <c r="K238" s="156"/>
      <c r="L238" s="16"/>
      <c r="M238" s="102"/>
      <c r="N238" s="103"/>
      <c r="O238" s="27"/>
      <c r="P238" s="27"/>
      <c r="Q238" s="27"/>
      <c r="R238" s="27"/>
      <c r="S238" s="27"/>
      <c r="T238" s="28"/>
      <c r="U238" s="156"/>
      <c r="V238" s="156"/>
      <c r="W238" s="156"/>
      <c r="X238" s="156"/>
      <c r="Y238" s="156"/>
      <c r="Z238" s="156"/>
      <c r="AA238" s="156"/>
      <c r="AB238" s="156"/>
      <c r="AC238" s="156"/>
      <c r="AD238" s="156"/>
      <c r="AE238" s="156"/>
      <c r="AT238" s="10" t="s">
        <v>84</v>
      </c>
      <c r="AU238" s="10" t="s">
        <v>47</v>
      </c>
    </row>
    <row r="239" spans="1:65" s="1" customFormat="1" ht="29.25" x14ac:dyDescent="0.2">
      <c r="A239" s="156"/>
      <c r="B239" s="16"/>
      <c r="C239" s="156"/>
      <c r="D239" s="99" t="s">
        <v>86</v>
      </c>
      <c r="E239" s="156"/>
      <c r="F239" s="104" t="s">
        <v>217</v>
      </c>
      <c r="G239" s="156"/>
      <c r="H239" s="156"/>
      <c r="I239" s="101"/>
      <c r="J239" s="156"/>
      <c r="K239" s="156"/>
      <c r="L239" s="16"/>
      <c r="M239" s="102"/>
      <c r="N239" s="103"/>
      <c r="O239" s="27"/>
      <c r="P239" s="27"/>
      <c r="Q239" s="27"/>
      <c r="R239" s="27"/>
      <c r="S239" s="27"/>
      <c r="T239" s="28"/>
      <c r="U239" s="156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T239" s="10" t="s">
        <v>86</v>
      </c>
      <c r="AU239" s="10" t="s">
        <v>47</v>
      </c>
    </row>
    <row r="240" spans="1:65" s="7" customFormat="1" x14ac:dyDescent="0.2">
      <c r="B240" s="112"/>
      <c r="D240" s="99" t="s">
        <v>87</v>
      </c>
      <c r="E240" s="113" t="s">
        <v>0</v>
      </c>
      <c r="F240" s="114" t="s">
        <v>436</v>
      </c>
      <c r="H240" s="115">
        <f>17.7*1*0.1</f>
        <v>1.77</v>
      </c>
      <c r="I240" s="116"/>
      <c r="L240" s="112"/>
      <c r="M240" s="117"/>
      <c r="N240" s="118"/>
      <c r="O240" s="118"/>
      <c r="P240" s="118"/>
      <c r="Q240" s="118"/>
      <c r="R240" s="118"/>
      <c r="S240" s="118"/>
      <c r="T240" s="119"/>
      <c r="AT240" s="113" t="s">
        <v>87</v>
      </c>
      <c r="AU240" s="113" t="s">
        <v>47</v>
      </c>
      <c r="AV240" s="7" t="s">
        <v>47</v>
      </c>
      <c r="AW240" s="7" t="s">
        <v>19</v>
      </c>
      <c r="AX240" s="7" t="s">
        <v>46</v>
      </c>
      <c r="AY240" s="113" t="s">
        <v>75</v>
      </c>
    </row>
    <row r="241" spans="1:65" s="1" customFormat="1" ht="14.45" customHeight="1" x14ac:dyDescent="0.2">
      <c r="A241" s="156"/>
      <c r="B241" s="85"/>
      <c r="C241" s="86" t="s">
        <v>143</v>
      </c>
      <c r="D241" s="86" t="s">
        <v>78</v>
      </c>
      <c r="E241" s="87" t="s">
        <v>276</v>
      </c>
      <c r="F241" s="88" t="s">
        <v>277</v>
      </c>
      <c r="G241" s="89" t="s">
        <v>81</v>
      </c>
      <c r="H241" s="90">
        <v>0.52500000000000002</v>
      </c>
      <c r="I241" s="91">
        <v>1200.17173250368</v>
      </c>
      <c r="J241" s="92">
        <f>ROUND(I241*H241,2)</f>
        <v>630.09</v>
      </c>
      <c r="K241" s="88" t="s">
        <v>0</v>
      </c>
      <c r="L241" s="16"/>
      <c r="M241" s="93" t="s">
        <v>0</v>
      </c>
      <c r="N241" s="94" t="s">
        <v>27</v>
      </c>
      <c r="O241" s="27"/>
      <c r="P241" s="95">
        <f>O241*H241</f>
        <v>0</v>
      </c>
      <c r="Q241" s="95">
        <v>0</v>
      </c>
      <c r="R241" s="95">
        <f>Q241*H241</f>
        <v>0</v>
      </c>
      <c r="S241" s="95">
        <v>0</v>
      </c>
      <c r="T241" s="96">
        <f>S241*H241</f>
        <v>0</v>
      </c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R241" s="97" t="s">
        <v>83</v>
      </c>
      <c r="AT241" s="97" t="s">
        <v>78</v>
      </c>
      <c r="AU241" s="97" t="s">
        <v>47</v>
      </c>
      <c r="AY241" s="10" t="s">
        <v>75</v>
      </c>
      <c r="BE241" s="98">
        <f>IF(N241="základní",J241,0)</f>
        <v>630.09</v>
      </c>
      <c r="BF241" s="98">
        <f>IF(N241="snížená",J241,0)</f>
        <v>0</v>
      </c>
      <c r="BG241" s="98">
        <f>IF(N241="zákl. přenesená",J241,0)</f>
        <v>0</v>
      </c>
      <c r="BH241" s="98">
        <f>IF(N241="sníž. přenesená",J241,0)</f>
        <v>0</v>
      </c>
      <c r="BI241" s="98">
        <f>IF(N241="nulová",J241,0)</f>
        <v>0</v>
      </c>
      <c r="BJ241" s="10" t="s">
        <v>46</v>
      </c>
      <c r="BK241" s="98">
        <f>ROUND(I241*H241,2)</f>
        <v>630.09</v>
      </c>
      <c r="BL241" s="10" t="s">
        <v>83</v>
      </c>
      <c r="BM241" s="97" t="s">
        <v>278</v>
      </c>
    </row>
    <row r="242" spans="1:65" s="1" customFormat="1" ht="19.5" x14ac:dyDescent="0.2">
      <c r="A242" s="156"/>
      <c r="B242" s="16"/>
      <c r="C242" s="156"/>
      <c r="D242" s="99" t="s">
        <v>84</v>
      </c>
      <c r="E242" s="156"/>
      <c r="F242" s="100" t="s">
        <v>168</v>
      </c>
      <c r="G242" s="156"/>
      <c r="H242" s="156"/>
      <c r="I242" s="101"/>
      <c r="J242" s="156"/>
      <c r="K242" s="156"/>
      <c r="L242" s="16"/>
      <c r="M242" s="102"/>
      <c r="N242" s="103"/>
      <c r="O242" s="27"/>
      <c r="P242" s="27"/>
      <c r="Q242" s="27"/>
      <c r="R242" s="27"/>
      <c r="S242" s="27"/>
      <c r="T242" s="28"/>
      <c r="U242" s="156"/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56"/>
      <c r="AT242" s="10" t="s">
        <v>84</v>
      </c>
      <c r="AU242" s="10" t="s">
        <v>47</v>
      </c>
    </row>
    <row r="243" spans="1:65" s="1" customFormat="1" ht="29.25" x14ac:dyDescent="0.2">
      <c r="A243" s="156"/>
      <c r="B243" s="16"/>
      <c r="C243" s="156"/>
      <c r="D243" s="99" t="s">
        <v>86</v>
      </c>
      <c r="E243" s="156"/>
      <c r="F243" s="104" t="s">
        <v>217</v>
      </c>
      <c r="G243" s="156"/>
      <c r="H243" s="156"/>
      <c r="I243" s="101"/>
      <c r="J243" s="156"/>
      <c r="K243" s="156"/>
      <c r="L243" s="16"/>
      <c r="M243" s="102"/>
      <c r="N243" s="103"/>
      <c r="O243" s="27"/>
      <c r="P243" s="27"/>
      <c r="Q243" s="27"/>
      <c r="R243" s="27"/>
      <c r="S243" s="27"/>
      <c r="T243" s="28"/>
      <c r="U243" s="156"/>
      <c r="V243" s="156"/>
      <c r="W243" s="156"/>
      <c r="X243" s="156"/>
      <c r="Y243" s="156"/>
      <c r="Z243" s="156"/>
      <c r="AA243" s="156"/>
      <c r="AB243" s="156"/>
      <c r="AC243" s="156"/>
      <c r="AD243" s="156"/>
      <c r="AE243" s="156"/>
      <c r="AT243" s="10" t="s">
        <v>86</v>
      </c>
      <c r="AU243" s="10" t="s">
        <v>47</v>
      </c>
    </row>
    <row r="244" spans="1:65" s="6" customFormat="1" x14ac:dyDescent="0.2">
      <c r="B244" s="105"/>
      <c r="D244" s="99" t="s">
        <v>87</v>
      </c>
      <c r="E244" s="106" t="s">
        <v>0</v>
      </c>
      <c r="F244" s="107" t="s">
        <v>279</v>
      </c>
      <c r="H244" s="106" t="s">
        <v>0</v>
      </c>
      <c r="I244" s="108"/>
      <c r="L244" s="105"/>
      <c r="M244" s="109"/>
      <c r="N244" s="110"/>
      <c r="O244" s="110"/>
      <c r="P244" s="110"/>
      <c r="Q244" s="110"/>
      <c r="R244" s="110"/>
      <c r="S244" s="110"/>
      <c r="T244" s="111"/>
      <c r="AT244" s="106" t="s">
        <v>87</v>
      </c>
      <c r="AU244" s="106" t="s">
        <v>47</v>
      </c>
      <c r="AV244" s="6" t="s">
        <v>46</v>
      </c>
      <c r="AW244" s="6" t="s">
        <v>19</v>
      </c>
      <c r="AX244" s="6" t="s">
        <v>45</v>
      </c>
      <c r="AY244" s="106" t="s">
        <v>75</v>
      </c>
    </row>
    <row r="245" spans="1:65" s="7" customFormat="1" x14ac:dyDescent="0.2">
      <c r="B245" s="112"/>
      <c r="D245" s="99" t="s">
        <v>87</v>
      </c>
      <c r="E245" s="113" t="s">
        <v>0</v>
      </c>
      <c r="F245" s="114" t="s">
        <v>280</v>
      </c>
      <c r="H245" s="115">
        <f>1*1*0.1*3</f>
        <v>0.30000000000000004</v>
      </c>
      <c r="I245" s="116"/>
      <c r="L245" s="112"/>
      <c r="M245" s="117"/>
      <c r="N245" s="118"/>
      <c r="O245" s="118"/>
      <c r="P245" s="118"/>
      <c r="Q245" s="118"/>
      <c r="R245" s="118"/>
      <c r="S245" s="118"/>
      <c r="T245" s="119"/>
      <c r="AT245" s="113" t="s">
        <v>87</v>
      </c>
      <c r="AU245" s="113" t="s">
        <v>47</v>
      </c>
      <c r="AV245" s="7" t="s">
        <v>47</v>
      </c>
      <c r="AW245" s="7" t="s">
        <v>19</v>
      </c>
      <c r="AX245" s="7" t="s">
        <v>45</v>
      </c>
      <c r="AY245" s="113" t="s">
        <v>75</v>
      </c>
    </row>
    <row r="246" spans="1:65" s="6" customFormat="1" x14ac:dyDescent="0.2">
      <c r="B246" s="105"/>
      <c r="D246" s="99" t="s">
        <v>87</v>
      </c>
      <c r="E246" s="106" t="s">
        <v>0</v>
      </c>
      <c r="F246" s="107" t="s">
        <v>281</v>
      </c>
      <c r="H246" s="106" t="s">
        <v>0</v>
      </c>
      <c r="I246" s="108"/>
      <c r="L246" s="105"/>
      <c r="M246" s="109"/>
      <c r="N246" s="110"/>
      <c r="O246" s="110"/>
      <c r="P246" s="110"/>
      <c r="Q246" s="110"/>
      <c r="R246" s="110"/>
      <c r="S246" s="110"/>
      <c r="T246" s="111"/>
      <c r="AT246" s="106" t="s">
        <v>87</v>
      </c>
      <c r="AU246" s="106" t="s">
        <v>47</v>
      </c>
      <c r="AV246" s="6" t="s">
        <v>46</v>
      </c>
      <c r="AW246" s="6" t="s">
        <v>19</v>
      </c>
      <c r="AX246" s="6" t="s">
        <v>45</v>
      </c>
      <c r="AY246" s="106" t="s">
        <v>75</v>
      </c>
    </row>
    <row r="247" spans="1:65" s="7" customFormat="1" x14ac:dyDescent="0.2">
      <c r="B247" s="112"/>
      <c r="D247" s="99" t="s">
        <v>87</v>
      </c>
      <c r="E247" s="113" t="s">
        <v>0</v>
      </c>
      <c r="F247" s="114" t="s">
        <v>282</v>
      </c>
      <c r="H247" s="115">
        <f>1.5*1.5*0.1*1</f>
        <v>0.22500000000000001</v>
      </c>
      <c r="I247" s="116"/>
      <c r="L247" s="112"/>
      <c r="M247" s="117"/>
      <c r="N247" s="118"/>
      <c r="O247" s="118"/>
      <c r="P247" s="118"/>
      <c r="Q247" s="118"/>
      <c r="R247" s="118"/>
      <c r="S247" s="118"/>
      <c r="T247" s="119"/>
      <c r="AT247" s="113" t="s">
        <v>87</v>
      </c>
      <c r="AU247" s="113" t="s">
        <v>47</v>
      </c>
      <c r="AV247" s="7" t="s">
        <v>47</v>
      </c>
      <c r="AW247" s="7" t="s">
        <v>19</v>
      </c>
      <c r="AX247" s="7" t="s">
        <v>45</v>
      </c>
      <c r="AY247" s="113" t="s">
        <v>75</v>
      </c>
    </row>
    <row r="248" spans="1:65" s="9" customFormat="1" x14ac:dyDescent="0.2">
      <c r="B248" s="128"/>
      <c r="D248" s="99" t="s">
        <v>87</v>
      </c>
      <c r="E248" s="129" t="s">
        <v>0</v>
      </c>
      <c r="F248" s="130" t="s">
        <v>103</v>
      </c>
      <c r="H248" s="131">
        <f>H245+H247</f>
        <v>0.52500000000000002</v>
      </c>
      <c r="I248" s="132"/>
      <c r="L248" s="128"/>
      <c r="M248" s="133"/>
      <c r="N248" s="134"/>
      <c r="O248" s="134"/>
      <c r="P248" s="134"/>
      <c r="Q248" s="134"/>
      <c r="R248" s="134"/>
      <c r="S248" s="134"/>
      <c r="T248" s="135"/>
      <c r="AT248" s="129" t="s">
        <v>87</v>
      </c>
      <c r="AU248" s="129" t="s">
        <v>47</v>
      </c>
      <c r="AV248" s="9" t="s">
        <v>83</v>
      </c>
      <c r="AW248" s="9" t="s">
        <v>19</v>
      </c>
      <c r="AX248" s="9" t="s">
        <v>46</v>
      </c>
      <c r="AY248" s="129" t="s">
        <v>75</v>
      </c>
    </row>
    <row r="249" spans="1:65" s="1" customFormat="1" ht="24.2" customHeight="1" x14ac:dyDescent="0.2">
      <c r="A249" s="156"/>
      <c r="B249" s="85"/>
      <c r="C249" s="86" t="s">
        <v>138</v>
      </c>
      <c r="D249" s="86" t="s">
        <v>78</v>
      </c>
      <c r="E249" s="87" t="s">
        <v>283</v>
      </c>
      <c r="F249" s="88" t="s">
        <v>284</v>
      </c>
      <c r="G249" s="89" t="s">
        <v>81</v>
      </c>
      <c r="H249" s="90">
        <v>0.42099999999999999</v>
      </c>
      <c r="I249" s="91">
        <v>2895.0660868876225</v>
      </c>
      <c r="J249" s="92">
        <f>ROUND(I249*H249,2)</f>
        <v>1218.82</v>
      </c>
      <c r="K249" s="88" t="s">
        <v>82</v>
      </c>
      <c r="L249" s="16"/>
      <c r="M249" s="93" t="s">
        <v>0</v>
      </c>
      <c r="N249" s="94" t="s">
        <v>27</v>
      </c>
      <c r="O249" s="27"/>
      <c r="P249" s="95">
        <f>O249*H249</f>
        <v>0</v>
      </c>
      <c r="Q249" s="95">
        <v>0</v>
      </c>
      <c r="R249" s="95">
        <f>Q249*H249</f>
        <v>0</v>
      </c>
      <c r="S249" s="95">
        <v>0</v>
      </c>
      <c r="T249" s="96">
        <f>S249*H249</f>
        <v>0</v>
      </c>
      <c r="U249" s="156"/>
      <c r="V249" s="156"/>
      <c r="W249" s="156"/>
      <c r="X249" s="156"/>
      <c r="Y249" s="156"/>
      <c r="Z249" s="156"/>
      <c r="AA249" s="156"/>
      <c r="AB249" s="156"/>
      <c r="AC249" s="156"/>
      <c r="AD249" s="156"/>
      <c r="AE249" s="156"/>
      <c r="AR249" s="97" t="s">
        <v>83</v>
      </c>
      <c r="AT249" s="97" t="s">
        <v>78</v>
      </c>
      <c r="AU249" s="97" t="s">
        <v>47</v>
      </c>
      <c r="AY249" s="10" t="s">
        <v>75</v>
      </c>
      <c r="BE249" s="98">
        <f>IF(N249="základní",J249,0)</f>
        <v>1218.82</v>
      </c>
      <c r="BF249" s="98">
        <f>IF(N249="snížená",J249,0)</f>
        <v>0</v>
      </c>
      <c r="BG249" s="98">
        <f>IF(N249="zákl. přenesená",J249,0)</f>
        <v>0</v>
      </c>
      <c r="BH249" s="98">
        <f>IF(N249="sníž. přenesená",J249,0)</f>
        <v>0</v>
      </c>
      <c r="BI249" s="98">
        <f>IF(N249="nulová",J249,0)</f>
        <v>0</v>
      </c>
      <c r="BJ249" s="10" t="s">
        <v>46</v>
      </c>
      <c r="BK249" s="98">
        <f>ROUND(I249*H249,2)</f>
        <v>1218.82</v>
      </c>
      <c r="BL249" s="10" t="s">
        <v>83</v>
      </c>
      <c r="BM249" s="97" t="s">
        <v>285</v>
      </c>
    </row>
    <row r="250" spans="1:65" s="1" customFormat="1" ht="29.25" x14ac:dyDescent="0.2">
      <c r="A250" s="156"/>
      <c r="B250" s="16"/>
      <c r="C250" s="156"/>
      <c r="D250" s="99" t="s">
        <v>84</v>
      </c>
      <c r="E250" s="156"/>
      <c r="F250" s="100" t="s">
        <v>286</v>
      </c>
      <c r="G250" s="156"/>
      <c r="H250" s="156"/>
      <c r="I250" s="101"/>
      <c r="J250" s="156"/>
      <c r="K250" s="156"/>
      <c r="L250" s="16"/>
      <c r="M250" s="102"/>
      <c r="N250" s="103"/>
      <c r="O250" s="27"/>
      <c r="P250" s="27"/>
      <c r="Q250" s="27"/>
      <c r="R250" s="27"/>
      <c r="S250" s="27"/>
      <c r="T250" s="28"/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T250" s="10" t="s">
        <v>84</v>
      </c>
      <c r="AU250" s="10" t="s">
        <v>47</v>
      </c>
    </row>
    <row r="251" spans="1:65" s="1" customFormat="1" ht="29.25" x14ac:dyDescent="0.2">
      <c r="A251" s="156"/>
      <c r="B251" s="16"/>
      <c r="C251" s="156"/>
      <c r="D251" s="99" t="s">
        <v>86</v>
      </c>
      <c r="E251" s="156"/>
      <c r="F251" s="104" t="s">
        <v>217</v>
      </c>
      <c r="G251" s="156"/>
      <c r="H251" s="156"/>
      <c r="I251" s="101"/>
      <c r="J251" s="156"/>
      <c r="K251" s="156"/>
      <c r="L251" s="16"/>
      <c r="M251" s="102"/>
      <c r="N251" s="103"/>
      <c r="O251" s="27"/>
      <c r="P251" s="27"/>
      <c r="Q251" s="27"/>
      <c r="R251" s="27"/>
      <c r="S251" s="27"/>
      <c r="T251" s="28"/>
      <c r="U251" s="156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  <c r="AT251" s="10" t="s">
        <v>86</v>
      </c>
      <c r="AU251" s="10" t="s">
        <v>47</v>
      </c>
    </row>
    <row r="252" spans="1:65" s="6" customFormat="1" x14ac:dyDescent="0.2">
      <c r="B252" s="105"/>
      <c r="D252" s="99" t="s">
        <v>87</v>
      </c>
      <c r="E252" s="106" t="s">
        <v>0</v>
      </c>
      <c r="F252" s="107" t="s">
        <v>279</v>
      </c>
      <c r="H252" s="106" t="s">
        <v>0</v>
      </c>
      <c r="I252" s="108"/>
      <c r="L252" s="105"/>
      <c r="M252" s="109"/>
      <c r="N252" s="110"/>
      <c r="O252" s="110"/>
      <c r="P252" s="110"/>
      <c r="Q252" s="110"/>
      <c r="R252" s="110"/>
      <c r="S252" s="110"/>
      <c r="T252" s="111"/>
      <c r="AT252" s="106" t="s">
        <v>87</v>
      </c>
      <c r="AU252" s="106" t="s">
        <v>47</v>
      </c>
      <c r="AV252" s="6" t="s">
        <v>46</v>
      </c>
      <c r="AW252" s="6" t="s">
        <v>19</v>
      </c>
      <c r="AX252" s="6" t="s">
        <v>45</v>
      </c>
      <c r="AY252" s="106" t="s">
        <v>75</v>
      </c>
    </row>
    <row r="253" spans="1:65" s="7" customFormat="1" x14ac:dyDescent="0.2">
      <c r="B253" s="112"/>
      <c r="D253" s="99" t="s">
        <v>87</v>
      </c>
      <c r="E253" s="113" t="s">
        <v>0</v>
      </c>
      <c r="F253" s="114" t="s">
        <v>437</v>
      </c>
      <c r="H253" s="115">
        <f>1*1*0.1*3</f>
        <v>0.30000000000000004</v>
      </c>
      <c r="I253" s="116"/>
      <c r="L253" s="112"/>
      <c r="M253" s="117"/>
      <c r="N253" s="118"/>
      <c r="O253" s="118"/>
      <c r="P253" s="118"/>
      <c r="Q253" s="118"/>
      <c r="R253" s="118"/>
      <c r="S253" s="118"/>
      <c r="T253" s="119"/>
      <c r="AT253" s="113" t="s">
        <v>87</v>
      </c>
      <c r="AU253" s="113" t="s">
        <v>47</v>
      </c>
      <c r="AV253" s="7" t="s">
        <v>47</v>
      </c>
      <c r="AW253" s="7" t="s">
        <v>19</v>
      </c>
      <c r="AX253" s="7" t="s">
        <v>45</v>
      </c>
      <c r="AY253" s="113" t="s">
        <v>75</v>
      </c>
    </row>
    <row r="254" spans="1:65" s="6" customFormat="1" x14ac:dyDescent="0.2">
      <c r="B254" s="105"/>
      <c r="D254" s="99" t="s">
        <v>87</v>
      </c>
      <c r="E254" s="106" t="s">
        <v>0</v>
      </c>
      <c r="F254" s="107" t="s">
        <v>281</v>
      </c>
      <c r="H254" s="106" t="s">
        <v>0</v>
      </c>
      <c r="I254" s="108"/>
      <c r="L254" s="105"/>
      <c r="M254" s="109"/>
      <c r="N254" s="110"/>
      <c r="O254" s="110"/>
      <c r="P254" s="110"/>
      <c r="Q254" s="110"/>
      <c r="R254" s="110"/>
      <c r="S254" s="110"/>
      <c r="T254" s="111"/>
      <c r="AT254" s="106" t="s">
        <v>87</v>
      </c>
      <c r="AU254" s="106" t="s">
        <v>47</v>
      </c>
      <c r="AV254" s="6" t="s">
        <v>46</v>
      </c>
      <c r="AW254" s="6" t="s">
        <v>19</v>
      </c>
      <c r="AX254" s="6" t="s">
        <v>45</v>
      </c>
      <c r="AY254" s="106" t="s">
        <v>75</v>
      </c>
    </row>
    <row r="255" spans="1:65" s="7" customFormat="1" x14ac:dyDescent="0.2">
      <c r="B255" s="112"/>
      <c r="D255" s="99" t="s">
        <v>87</v>
      </c>
      <c r="E255" s="113" t="s">
        <v>0</v>
      </c>
      <c r="F255" s="114" t="s">
        <v>287</v>
      </c>
      <c r="H255" s="115">
        <f>1.1*1.1*0.1*1</f>
        <v>0.12100000000000002</v>
      </c>
      <c r="I255" s="116"/>
      <c r="L255" s="112"/>
      <c r="M255" s="117"/>
      <c r="N255" s="118"/>
      <c r="O255" s="118"/>
      <c r="P255" s="118"/>
      <c r="Q255" s="118"/>
      <c r="R255" s="118"/>
      <c r="S255" s="118"/>
      <c r="T255" s="119"/>
      <c r="AT255" s="113" t="s">
        <v>87</v>
      </c>
      <c r="AU255" s="113" t="s">
        <v>47</v>
      </c>
      <c r="AV255" s="7" t="s">
        <v>47</v>
      </c>
      <c r="AW255" s="7" t="s">
        <v>19</v>
      </c>
      <c r="AX255" s="7" t="s">
        <v>45</v>
      </c>
      <c r="AY255" s="113" t="s">
        <v>75</v>
      </c>
    </row>
    <row r="256" spans="1:65" s="9" customFormat="1" x14ac:dyDescent="0.2">
      <c r="B256" s="128"/>
      <c r="D256" s="99" t="s">
        <v>87</v>
      </c>
      <c r="E256" s="129" t="s">
        <v>0</v>
      </c>
      <c r="F256" s="130" t="s">
        <v>103</v>
      </c>
      <c r="H256" s="131">
        <f>H253+H255</f>
        <v>0.42100000000000004</v>
      </c>
      <c r="I256" s="132"/>
      <c r="L256" s="128"/>
      <c r="M256" s="133"/>
      <c r="N256" s="134"/>
      <c r="O256" s="134"/>
      <c r="P256" s="134"/>
      <c r="Q256" s="134"/>
      <c r="R256" s="134"/>
      <c r="S256" s="134"/>
      <c r="T256" s="135"/>
      <c r="AT256" s="129" t="s">
        <v>87</v>
      </c>
      <c r="AU256" s="129" t="s">
        <v>47</v>
      </c>
      <c r="AV256" s="9" t="s">
        <v>83</v>
      </c>
      <c r="AW256" s="9" t="s">
        <v>19</v>
      </c>
      <c r="AX256" s="9" t="s">
        <v>46</v>
      </c>
      <c r="AY256" s="129" t="s">
        <v>75</v>
      </c>
    </row>
    <row r="257" spans="1:65" s="5" customFormat="1" ht="22.9" customHeight="1" x14ac:dyDescent="0.2">
      <c r="B257" s="72"/>
      <c r="D257" s="73" t="s">
        <v>44</v>
      </c>
      <c r="E257" s="83" t="s">
        <v>223</v>
      </c>
      <c r="F257" s="83" t="s">
        <v>288</v>
      </c>
      <c r="I257" s="75"/>
      <c r="J257" s="84">
        <f>BK257</f>
        <v>11704.12</v>
      </c>
      <c r="L257" s="72"/>
      <c r="M257" s="77"/>
      <c r="N257" s="78"/>
      <c r="O257" s="78"/>
      <c r="P257" s="79">
        <f>SUM(P258:P266)</f>
        <v>0</v>
      </c>
      <c r="Q257" s="78"/>
      <c r="R257" s="79">
        <f>SUM(R258:R266)</f>
        <v>0</v>
      </c>
      <c r="S257" s="78"/>
      <c r="T257" s="80">
        <f>SUM(T258:T266)</f>
        <v>0</v>
      </c>
      <c r="AR257" s="73" t="s">
        <v>46</v>
      </c>
      <c r="AT257" s="81" t="s">
        <v>44</v>
      </c>
      <c r="AU257" s="81" t="s">
        <v>46</v>
      </c>
      <c r="AY257" s="73" t="s">
        <v>75</v>
      </c>
      <c r="BK257" s="82">
        <f>SUM(BK258:BK266)</f>
        <v>11704.12</v>
      </c>
    </row>
    <row r="258" spans="1:65" s="1" customFormat="1" ht="24.2" customHeight="1" x14ac:dyDescent="0.2">
      <c r="A258" s="156"/>
      <c r="B258" s="85"/>
      <c r="C258" s="86" t="s">
        <v>289</v>
      </c>
      <c r="D258" s="86" t="s">
        <v>78</v>
      </c>
      <c r="E258" s="87" t="s">
        <v>170</v>
      </c>
      <c r="F258" s="88" t="s">
        <v>171</v>
      </c>
      <c r="G258" s="89" t="s">
        <v>100</v>
      </c>
      <c r="H258" s="90">
        <v>15.93</v>
      </c>
      <c r="I258" s="91">
        <v>130.95617506780872</v>
      </c>
      <c r="J258" s="92">
        <f>ROUND(I258*H258,2)</f>
        <v>2086.13</v>
      </c>
      <c r="K258" s="88" t="s">
        <v>82</v>
      </c>
      <c r="L258" s="16"/>
      <c r="M258" s="93" t="s">
        <v>0</v>
      </c>
      <c r="N258" s="94" t="s">
        <v>27</v>
      </c>
      <c r="O258" s="27"/>
      <c r="P258" s="95">
        <f>O258*H258</f>
        <v>0</v>
      </c>
      <c r="Q258" s="95">
        <v>0</v>
      </c>
      <c r="R258" s="95">
        <f>Q258*H258</f>
        <v>0</v>
      </c>
      <c r="S258" s="95">
        <v>0</v>
      </c>
      <c r="T258" s="96">
        <f>S258*H258</f>
        <v>0</v>
      </c>
      <c r="U258" s="156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R258" s="97" t="s">
        <v>83</v>
      </c>
      <c r="AT258" s="97" t="s">
        <v>78</v>
      </c>
      <c r="AU258" s="97" t="s">
        <v>47</v>
      </c>
      <c r="AY258" s="10" t="s">
        <v>75</v>
      </c>
      <c r="BE258" s="98">
        <f>IF(N258="základní",J258,0)</f>
        <v>2086.13</v>
      </c>
      <c r="BF258" s="98">
        <f>IF(N258="snížená",J258,0)</f>
        <v>0</v>
      </c>
      <c r="BG258" s="98">
        <f>IF(N258="zákl. přenesená",J258,0)</f>
        <v>0</v>
      </c>
      <c r="BH258" s="98">
        <f>IF(N258="sníž. přenesená",J258,0)</f>
        <v>0</v>
      </c>
      <c r="BI258" s="98">
        <f>IF(N258="nulová",J258,0)</f>
        <v>0</v>
      </c>
      <c r="BJ258" s="10" t="s">
        <v>46</v>
      </c>
      <c r="BK258" s="98">
        <f>ROUND(I258*H258,2)</f>
        <v>2086.13</v>
      </c>
      <c r="BL258" s="10" t="s">
        <v>83</v>
      </c>
      <c r="BM258" s="97" t="s">
        <v>290</v>
      </c>
    </row>
    <row r="259" spans="1:65" s="1" customFormat="1" ht="19.5" x14ac:dyDescent="0.2">
      <c r="A259" s="156"/>
      <c r="B259" s="16"/>
      <c r="C259" s="156"/>
      <c r="D259" s="99" t="s">
        <v>84</v>
      </c>
      <c r="E259" s="156"/>
      <c r="F259" s="100" t="s">
        <v>172</v>
      </c>
      <c r="G259" s="156"/>
      <c r="H259" s="156"/>
      <c r="I259" s="101"/>
      <c r="J259" s="156"/>
      <c r="K259" s="156"/>
      <c r="L259" s="16"/>
      <c r="M259" s="102"/>
      <c r="N259" s="103"/>
      <c r="O259" s="27"/>
      <c r="P259" s="27"/>
      <c r="Q259" s="27"/>
      <c r="R259" s="27"/>
      <c r="S259" s="27"/>
      <c r="T259" s="28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T259" s="10" t="s">
        <v>84</v>
      </c>
      <c r="AU259" s="10" t="s">
        <v>47</v>
      </c>
    </row>
    <row r="260" spans="1:65" s="1" customFormat="1" ht="14.45" customHeight="1" x14ac:dyDescent="0.2">
      <c r="A260" s="156"/>
      <c r="B260" s="85"/>
      <c r="C260" s="86" t="s">
        <v>165</v>
      </c>
      <c r="D260" s="86" t="s">
        <v>78</v>
      </c>
      <c r="E260" s="87" t="s">
        <v>174</v>
      </c>
      <c r="F260" s="88" t="s">
        <v>175</v>
      </c>
      <c r="G260" s="89" t="s">
        <v>100</v>
      </c>
      <c r="H260" s="90">
        <v>15.93</v>
      </c>
      <c r="I260" s="91">
        <v>200.20823792465458</v>
      </c>
      <c r="J260" s="92">
        <f>ROUND(I260*H260,2)</f>
        <v>3189.32</v>
      </c>
      <c r="K260" s="88" t="s">
        <v>82</v>
      </c>
      <c r="L260" s="16"/>
      <c r="M260" s="93" t="s">
        <v>0</v>
      </c>
      <c r="N260" s="94" t="s">
        <v>27</v>
      </c>
      <c r="O260" s="27"/>
      <c r="P260" s="95">
        <f>O260*H260</f>
        <v>0</v>
      </c>
      <c r="Q260" s="95">
        <v>0</v>
      </c>
      <c r="R260" s="95">
        <f>Q260*H260</f>
        <v>0</v>
      </c>
      <c r="S260" s="95">
        <v>0</v>
      </c>
      <c r="T260" s="96">
        <f>S260*H260</f>
        <v>0</v>
      </c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R260" s="97" t="s">
        <v>83</v>
      </c>
      <c r="AT260" s="97" t="s">
        <v>78</v>
      </c>
      <c r="AU260" s="97" t="s">
        <v>47</v>
      </c>
      <c r="AY260" s="10" t="s">
        <v>75</v>
      </c>
      <c r="BE260" s="98">
        <f>IF(N260="základní",J260,0)</f>
        <v>3189.32</v>
      </c>
      <c r="BF260" s="98">
        <f>IF(N260="snížená",J260,0)</f>
        <v>0</v>
      </c>
      <c r="BG260" s="98">
        <f>IF(N260="zákl. přenesená",J260,0)</f>
        <v>0</v>
      </c>
      <c r="BH260" s="98">
        <f>IF(N260="sníž. přenesená",J260,0)</f>
        <v>0</v>
      </c>
      <c r="BI260" s="98">
        <f>IF(N260="nulová",J260,0)</f>
        <v>0</v>
      </c>
      <c r="BJ260" s="10" t="s">
        <v>46</v>
      </c>
      <c r="BK260" s="98">
        <f>ROUND(I260*H260,2)</f>
        <v>3189.32</v>
      </c>
      <c r="BL260" s="10" t="s">
        <v>83</v>
      </c>
      <c r="BM260" s="97" t="s">
        <v>291</v>
      </c>
    </row>
    <row r="261" spans="1:65" s="1" customFormat="1" ht="19.5" x14ac:dyDescent="0.2">
      <c r="A261" s="156"/>
      <c r="B261" s="16"/>
      <c r="C261" s="156"/>
      <c r="D261" s="99" t="s">
        <v>84</v>
      </c>
      <c r="E261" s="156"/>
      <c r="F261" s="100" t="s">
        <v>176</v>
      </c>
      <c r="G261" s="156"/>
      <c r="H261" s="156"/>
      <c r="I261" s="101"/>
      <c r="J261" s="156"/>
      <c r="K261" s="156"/>
      <c r="L261" s="16"/>
      <c r="M261" s="102"/>
      <c r="N261" s="103"/>
      <c r="O261" s="27"/>
      <c r="P261" s="27"/>
      <c r="Q261" s="27"/>
      <c r="R261" s="27"/>
      <c r="S261" s="27"/>
      <c r="T261" s="28"/>
      <c r="U261" s="156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/>
      <c r="AT261" s="10" t="s">
        <v>84</v>
      </c>
      <c r="AU261" s="10" t="s">
        <v>47</v>
      </c>
    </row>
    <row r="262" spans="1:65" s="1" customFormat="1" ht="24.2" customHeight="1" x14ac:dyDescent="0.2">
      <c r="A262" s="156"/>
      <c r="B262" s="85"/>
      <c r="C262" s="86" t="s">
        <v>292</v>
      </c>
      <c r="D262" s="86" t="s">
        <v>78</v>
      </c>
      <c r="E262" s="87" t="s">
        <v>293</v>
      </c>
      <c r="F262" s="88" t="s">
        <v>294</v>
      </c>
      <c r="G262" s="89" t="s">
        <v>100</v>
      </c>
      <c r="H262" s="90">
        <v>15.93</v>
      </c>
      <c r="I262" s="91">
        <v>40.878739778868102</v>
      </c>
      <c r="J262" s="92">
        <f>ROUND(I262*H262,2)</f>
        <v>651.20000000000005</v>
      </c>
      <c r="K262" s="88" t="s">
        <v>82</v>
      </c>
      <c r="L262" s="16"/>
      <c r="M262" s="93" t="s">
        <v>0</v>
      </c>
      <c r="N262" s="94" t="s">
        <v>27</v>
      </c>
      <c r="O262" s="27"/>
      <c r="P262" s="95">
        <f>O262*H262</f>
        <v>0</v>
      </c>
      <c r="Q262" s="95">
        <v>0</v>
      </c>
      <c r="R262" s="95">
        <f>Q262*H262</f>
        <v>0</v>
      </c>
      <c r="S262" s="95">
        <v>0</v>
      </c>
      <c r="T262" s="96">
        <f>S262*H262</f>
        <v>0</v>
      </c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R262" s="97" t="s">
        <v>83</v>
      </c>
      <c r="AT262" s="97" t="s">
        <v>78</v>
      </c>
      <c r="AU262" s="97" t="s">
        <v>47</v>
      </c>
      <c r="AY262" s="10" t="s">
        <v>75</v>
      </c>
      <c r="BE262" s="98">
        <f>IF(N262="základní",J262,0)</f>
        <v>651.20000000000005</v>
      </c>
      <c r="BF262" s="98">
        <f>IF(N262="snížená",J262,0)</f>
        <v>0</v>
      </c>
      <c r="BG262" s="98">
        <f>IF(N262="zákl. přenesená",J262,0)</f>
        <v>0</v>
      </c>
      <c r="BH262" s="98">
        <f>IF(N262="sníž. přenesená",J262,0)</f>
        <v>0</v>
      </c>
      <c r="BI262" s="98">
        <f>IF(N262="nulová",J262,0)</f>
        <v>0</v>
      </c>
      <c r="BJ262" s="10" t="s">
        <v>46</v>
      </c>
      <c r="BK262" s="98">
        <f>ROUND(I262*H262,2)</f>
        <v>651.20000000000005</v>
      </c>
      <c r="BL262" s="10" t="s">
        <v>83</v>
      </c>
      <c r="BM262" s="97" t="s">
        <v>295</v>
      </c>
    </row>
    <row r="263" spans="1:65" s="1" customFormat="1" ht="19.5" x14ac:dyDescent="0.2">
      <c r="A263" s="156"/>
      <c r="B263" s="16"/>
      <c r="C263" s="156"/>
      <c r="D263" s="99" t="s">
        <v>84</v>
      </c>
      <c r="E263" s="156"/>
      <c r="F263" s="100" t="s">
        <v>296</v>
      </c>
      <c r="G263" s="156"/>
      <c r="H263" s="156"/>
      <c r="I263" s="101"/>
      <c r="J263" s="156"/>
      <c r="K263" s="156"/>
      <c r="L263" s="16"/>
      <c r="M263" s="102"/>
      <c r="N263" s="103"/>
      <c r="O263" s="27"/>
      <c r="P263" s="27"/>
      <c r="Q263" s="27"/>
      <c r="R263" s="27"/>
      <c r="S263" s="27"/>
      <c r="T263" s="28"/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T263" s="10" t="s">
        <v>84</v>
      </c>
      <c r="AU263" s="10" t="s">
        <v>47</v>
      </c>
    </row>
    <row r="264" spans="1:65" s="1" customFormat="1" ht="24.2" customHeight="1" x14ac:dyDescent="0.2">
      <c r="A264" s="156"/>
      <c r="B264" s="85"/>
      <c r="C264" s="86" t="s">
        <v>297</v>
      </c>
      <c r="D264" s="86" t="s">
        <v>78</v>
      </c>
      <c r="E264" s="87" t="s">
        <v>178</v>
      </c>
      <c r="F264" s="88" t="s">
        <v>179</v>
      </c>
      <c r="G264" s="89" t="s">
        <v>100</v>
      </c>
      <c r="H264" s="90">
        <v>15.93</v>
      </c>
      <c r="I264" s="91">
        <v>362.67856108310502</v>
      </c>
      <c r="J264" s="92">
        <f>ROUND(I264*H264,2)</f>
        <v>5777.47</v>
      </c>
      <c r="K264" s="88" t="s">
        <v>82</v>
      </c>
      <c r="L264" s="16"/>
      <c r="M264" s="93" t="s">
        <v>0</v>
      </c>
      <c r="N264" s="94" t="s">
        <v>27</v>
      </c>
      <c r="O264" s="27"/>
      <c r="P264" s="95">
        <f>O264*H264</f>
        <v>0</v>
      </c>
      <c r="Q264" s="95">
        <v>0</v>
      </c>
      <c r="R264" s="95">
        <f>Q264*H264</f>
        <v>0</v>
      </c>
      <c r="S264" s="95">
        <v>0</v>
      </c>
      <c r="T264" s="96">
        <f>S264*H264</f>
        <v>0</v>
      </c>
      <c r="U264" s="156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R264" s="97" t="s">
        <v>83</v>
      </c>
      <c r="AT264" s="97" t="s">
        <v>78</v>
      </c>
      <c r="AU264" s="97" t="s">
        <v>47</v>
      </c>
      <c r="AY264" s="10" t="s">
        <v>75</v>
      </c>
      <c r="BE264" s="98">
        <f>IF(N264="základní",J264,0)</f>
        <v>5777.47</v>
      </c>
      <c r="BF264" s="98">
        <f>IF(N264="snížená",J264,0)</f>
        <v>0</v>
      </c>
      <c r="BG264" s="98">
        <f>IF(N264="zákl. přenesená",J264,0)</f>
        <v>0</v>
      </c>
      <c r="BH264" s="98">
        <f>IF(N264="sníž. přenesená",J264,0)</f>
        <v>0</v>
      </c>
      <c r="BI264" s="98">
        <f>IF(N264="nulová",J264,0)</f>
        <v>0</v>
      </c>
      <c r="BJ264" s="10" t="s">
        <v>46</v>
      </c>
      <c r="BK264" s="98">
        <f>ROUND(I264*H264,2)</f>
        <v>5777.47</v>
      </c>
      <c r="BL264" s="10" t="s">
        <v>83</v>
      </c>
      <c r="BM264" s="97" t="s">
        <v>298</v>
      </c>
    </row>
    <row r="265" spans="1:65" s="1" customFormat="1" ht="29.25" x14ac:dyDescent="0.2">
      <c r="A265" s="156"/>
      <c r="B265" s="16"/>
      <c r="C265" s="156"/>
      <c r="D265" s="99" t="s">
        <v>84</v>
      </c>
      <c r="E265" s="156"/>
      <c r="F265" s="100" t="s">
        <v>180</v>
      </c>
      <c r="G265" s="156"/>
      <c r="H265" s="156"/>
      <c r="I265" s="101"/>
      <c r="J265" s="156"/>
      <c r="K265" s="156"/>
      <c r="L265" s="16"/>
      <c r="M265" s="102"/>
      <c r="N265" s="103"/>
      <c r="O265" s="27"/>
      <c r="P265" s="27"/>
      <c r="Q265" s="27"/>
      <c r="R265" s="27"/>
      <c r="S265" s="27"/>
      <c r="T265" s="28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T265" s="10" t="s">
        <v>84</v>
      </c>
      <c r="AU265" s="10" t="s">
        <v>47</v>
      </c>
    </row>
    <row r="266" spans="1:65" s="1" customFormat="1" ht="29.25" x14ac:dyDescent="0.2">
      <c r="A266" s="156"/>
      <c r="B266" s="16"/>
      <c r="C266" s="156"/>
      <c r="D266" s="99" t="s">
        <v>86</v>
      </c>
      <c r="E266" s="156"/>
      <c r="F266" s="104" t="s">
        <v>217</v>
      </c>
      <c r="G266" s="156"/>
      <c r="H266" s="156"/>
      <c r="I266" s="101"/>
      <c r="J266" s="156"/>
      <c r="K266" s="156"/>
      <c r="L266" s="16"/>
      <c r="M266" s="102"/>
      <c r="N266" s="103"/>
      <c r="O266" s="27"/>
      <c r="P266" s="27"/>
      <c r="Q266" s="27"/>
      <c r="R266" s="27"/>
      <c r="S266" s="27"/>
      <c r="T266" s="28"/>
      <c r="U266" s="156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T266" s="10" t="s">
        <v>86</v>
      </c>
      <c r="AU266" s="10" t="s">
        <v>47</v>
      </c>
    </row>
    <row r="267" spans="1:65" s="5" customFormat="1" ht="22.9" customHeight="1" x14ac:dyDescent="0.2">
      <c r="B267" s="72"/>
      <c r="D267" s="73" t="s">
        <v>44</v>
      </c>
      <c r="E267" s="83" t="s">
        <v>129</v>
      </c>
      <c r="F267" s="83" t="s">
        <v>300</v>
      </c>
      <c r="I267" s="75"/>
      <c r="J267" s="84">
        <f>BK267</f>
        <v>62484.919999999984</v>
      </c>
      <c r="L267" s="72"/>
      <c r="M267" s="77"/>
      <c r="N267" s="78"/>
      <c r="O267" s="78"/>
      <c r="P267" s="79">
        <f>SUM(P268:P310)</f>
        <v>0</v>
      </c>
      <c r="Q267" s="78"/>
      <c r="R267" s="79">
        <f>SUM(R268:R310)</f>
        <v>0.81142399999999992</v>
      </c>
      <c r="S267" s="78"/>
      <c r="T267" s="80">
        <f>SUM(T268:T310)</f>
        <v>0</v>
      </c>
      <c r="AR267" s="73" t="s">
        <v>46</v>
      </c>
      <c r="AT267" s="81" t="s">
        <v>44</v>
      </c>
      <c r="AU267" s="81" t="s">
        <v>46</v>
      </c>
      <c r="AY267" s="73" t="s">
        <v>75</v>
      </c>
      <c r="BK267" s="82">
        <f>SUM(BK268:BK310)</f>
        <v>62484.919999999984</v>
      </c>
    </row>
    <row r="268" spans="1:65" s="1" customFormat="1" ht="24.2" customHeight="1" x14ac:dyDescent="0.2">
      <c r="A268" s="156"/>
      <c r="B268" s="85"/>
      <c r="C268" s="86" t="s">
        <v>301</v>
      </c>
      <c r="D268" s="86" t="s">
        <v>78</v>
      </c>
      <c r="E268" s="87" t="s">
        <v>302</v>
      </c>
      <c r="F268" s="88" t="s">
        <v>303</v>
      </c>
      <c r="G268" s="89" t="s">
        <v>270</v>
      </c>
      <c r="H268" s="90">
        <v>17.7</v>
      </c>
      <c r="I268" s="91">
        <v>617.16852473597498</v>
      </c>
      <c r="J268" s="92">
        <f>ROUND(I268*H268,2)</f>
        <v>10923.88</v>
      </c>
      <c r="K268" s="88" t="s">
        <v>82</v>
      </c>
      <c r="L268" s="16"/>
      <c r="M268" s="93" t="s">
        <v>0</v>
      </c>
      <c r="N268" s="94" t="s">
        <v>27</v>
      </c>
      <c r="O268" s="27"/>
      <c r="P268" s="95">
        <f>O268*H268</f>
        <v>0</v>
      </c>
      <c r="Q268" s="95">
        <v>4.2199999999999998E-3</v>
      </c>
      <c r="R268" s="95">
        <f>Q268*H268</f>
        <v>7.4693999999999997E-2</v>
      </c>
      <c r="S268" s="95">
        <v>0</v>
      </c>
      <c r="T268" s="96">
        <f>S268*H268</f>
        <v>0</v>
      </c>
      <c r="U268" s="156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R268" s="97" t="s">
        <v>83</v>
      </c>
      <c r="AT268" s="97" t="s">
        <v>78</v>
      </c>
      <c r="AU268" s="97" t="s">
        <v>47</v>
      </c>
      <c r="AY268" s="10" t="s">
        <v>75</v>
      </c>
      <c r="BE268" s="98">
        <f>IF(N268="základní",J268,0)</f>
        <v>10923.88</v>
      </c>
      <c r="BF268" s="98">
        <f>IF(N268="snížená",J268,0)</f>
        <v>0</v>
      </c>
      <c r="BG268" s="98">
        <f>IF(N268="zákl. přenesená",J268,0)</f>
        <v>0</v>
      </c>
      <c r="BH268" s="98">
        <f>IF(N268="sníž. přenesená",J268,0)</f>
        <v>0</v>
      </c>
      <c r="BI268" s="98">
        <f>IF(N268="nulová",J268,0)</f>
        <v>0</v>
      </c>
      <c r="BJ268" s="10" t="s">
        <v>46</v>
      </c>
      <c r="BK268" s="98">
        <f>ROUND(I268*H268,2)</f>
        <v>10923.88</v>
      </c>
      <c r="BL268" s="10" t="s">
        <v>83</v>
      </c>
      <c r="BM268" s="97" t="s">
        <v>304</v>
      </c>
    </row>
    <row r="269" spans="1:65" s="1" customFormat="1" ht="29.25" x14ac:dyDescent="0.2">
      <c r="A269" s="156"/>
      <c r="B269" s="16"/>
      <c r="C269" s="156"/>
      <c r="D269" s="99" t="s">
        <v>84</v>
      </c>
      <c r="E269" s="156"/>
      <c r="F269" s="100" t="s">
        <v>305</v>
      </c>
      <c r="G269" s="156"/>
      <c r="H269" s="156"/>
      <c r="I269" s="101"/>
      <c r="J269" s="156"/>
      <c r="K269" s="156"/>
      <c r="L269" s="16"/>
      <c r="M269" s="102"/>
      <c r="N269" s="103"/>
      <c r="O269" s="27"/>
      <c r="P269" s="27"/>
      <c r="Q269" s="27"/>
      <c r="R269" s="27"/>
      <c r="S269" s="27"/>
      <c r="T269" s="28"/>
      <c r="U269" s="156"/>
      <c r="V269" s="156"/>
      <c r="W269" s="156"/>
      <c r="X269" s="156"/>
      <c r="Y269" s="156"/>
      <c r="Z269" s="156"/>
      <c r="AA269" s="156"/>
      <c r="AB269" s="156"/>
      <c r="AC269" s="156"/>
      <c r="AD269" s="156"/>
      <c r="AE269" s="156"/>
      <c r="AT269" s="10" t="s">
        <v>84</v>
      </c>
      <c r="AU269" s="10" t="s">
        <v>47</v>
      </c>
    </row>
    <row r="270" spans="1:65" s="1" customFormat="1" ht="29.25" x14ac:dyDescent="0.2">
      <c r="A270" s="156"/>
      <c r="B270" s="16"/>
      <c r="C270" s="156"/>
      <c r="D270" s="99" t="s">
        <v>86</v>
      </c>
      <c r="E270" s="156"/>
      <c r="F270" s="104" t="s">
        <v>217</v>
      </c>
      <c r="G270" s="156"/>
      <c r="H270" s="156"/>
      <c r="I270" s="101"/>
      <c r="J270" s="156"/>
      <c r="K270" s="156"/>
      <c r="L270" s="16"/>
      <c r="M270" s="102"/>
      <c r="N270" s="103"/>
      <c r="O270" s="27"/>
      <c r="P270" s="27"/>
      <c r="Q270" s="27"/>
      <c r="R270" s="27"/>
      <c r="S270" s="27"/>
      <c r="T270" s="28"/>
      <c r="U270" s="156"/>
      <c r="V270" s="156"/>
      <c r="W270" s="156"/>
      <c r="X270" s="156"/>
      <c r="Y270" s="156"/>
      <c r="Z270" s="156"/>
      <c r="AA270" s="156"/>
      <c r="AB270" s="156"/>
      <c r="AC270" s="156"/>
      <c r="AD270" s="156"/>
      <c r="AE270" s="156"/>
      <c r="AT270" s="10" t="s">
        <v>86</v>
      </c>
      <c r="AU270" s="10" t="s">
        <v>47</v>
      </c>
    </row>
    <row r="271" spans="1:65" s="7" customFormat="1" x14ac:dyDescent="0.2">
      <c r="B271" s="112"/>
      <c r="D271" s="99" t="s">
        <v>87</v>
      </c>
      <c r="E271" s="113" t="s">
        <v>0</v>
      </c>
      <c r="F271" s="114" t="s">
        <v>273</v>
      </c>
      <c r="H271" s="115">
        <v>145.1</v>
      </c>
      <c r="I271" s="116"/>
      <c r="L271" s="112"/>
      <c r="M271" s="117"/>
      <c r="N271" s="118"/>
      <c r="O271" s="118"/>
      <c r="P271" s="118"/>
      <c r="Q271" s="118"/>
      <c r="R271" s="118"/>
      <c r="S271" s="118"/>
      <c r="T271" s="119"/>
      <c r="AT271" s="113" t="s">
        <v>87</v>
      </c>
      <c r="AU271" s="113" t="s">
        <v>47</v>
      </c>
      <c r="AV271" s="7" t="s">
        <v>47</v>
      </c>
      <c r="AW271" s="7" t="s">
        <v>19</v>
      </c>
      <c r="AX271" s="7" t="s">
        <v>46</v>
      </c>
      <c r="AY271" s="113" t="s">
        <v>75</v>
      </c>
    </row>
    <row r="272" spans="1:65" s="1" customFormat="1" ht="24.2" customHeight="1" x14ac:dyDescent="0.2">
      <c r="A272" s="156"/>
      <c r="B272" s="85"/>
      <c r="C272" s="86" t="s">
        <v>306</v>
      </c>
      <c r="D272" s="86" t="s">
        <v>78</v>
      </c>
      <c r="E272" s="87" t="s">
        <v>307</v>
      </c>
      <c r="F272" s="88" t="s">
        <v>308</v>
      </c>
      <c r="G272" s="89" t="s">
        <v>309</v>
      </c>
      <c r="H272" s="90">
        <v>4</v>
      </c>
      <c r="I272" s="91">
        <v>214.24530512569368</v>
      </c>
      <c r="J272" s="92">
        <f>ROUND(I272*H272,2)</f>
        <v>856.98</v>
      </c>
      <c r="K272" s="88" t="s">
        <v>82</v>
      </c>
      <c r="L272" s="16"/>
      <c r="M272" s="93" t="s">
        <v>0</v>
      </c>
      <c r="N272" s="94" t="s">
        <v>27</v>
      </c>
      <c r="O272" s="27"/>
      <c r="P272" s="95">
        <f>O272*H272</f>
        <v>0</v>
      </c>
      <c r="Q272" s="95">
        <v>0</v>
      </c>
      <c r="R272" s="95">
        <f>Q272*H272</f>
        <v>0</v>
      </c>
      <c r="S272" s="95">
        <v>0</v>
      </c>
      <c r="T272" s="96">
        <f>S272*H272</f>
        <v>0</v>
      </c>
      <c r="U272" s="156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R272" s="97" t="s">
        <v>83</v>
      </c>
      <c r="AT272" s="97" t="s">
        <v>78</v>
      </c>
      <c r="AU272" s="97" t="s">
        <v>47</v>
      </c>
      <c r="AY272" s="10" t="s">
        <v>75</v>
      </c>
      <c r="BE272" s="98">
        <f>IF(N272="základní",J272,0)</f>
        <v>856.98</v>
      </c>
      <c r="BF272" s="98">
        <f>IF(N272="snížená",J272,0)</f>
        <v>0</v>
      </c>
      <c r="BG272" s="98">
        <f>IF(N272="zákl. přenesená",J272,0)</f>
        <v>0</v>
      </c>
      <c r="BH272" s="98">
        <f>IF(N272="sníž. přenesená",J272,0)</f>
        <v>0</v>
      </c>
      <c r="BI272" s="98">
        <f>IF(N272="nulová",J272,0)</f>
        <v>0</v>
      </c>
      <c r="BJ272" s="10" t="s">
        <v>46</v>
      </c>
      <c r="BK272" s="98">
        <f>ROUND(I272*H272,2)</f>
        <v>856.98</v>
      </c>
      <c r="BL272" s="10" t="s">
        <v>83</v>
      </c>
      <c r="BM272" s="97" t="s">
        <v>310</v>
      </c>
    </row>
    <row r="273" spans="1:65" s="1" customFormat="1" ht="19.5" x14ac:dyDescent="0.2">
      <c r="A273" s="156"/>
      <c r="B273" s="16"/>
      <c r="C273" s="156"/>
      <c r="D273" s="99" t="s">
        <v>84</v>
      </c>
      <c r="E273" s="156"/>
      <c r="F273" s="100" t="s">
        <v>311</v>
      </c>
      <c r="G273" s="156"/>
      <c r="H273" s="156"/>
      <c r="I273" s="101"/>
      <c r="J273" s="156"/>
      <c r="K273" s="156"/>
      <c r="L273" s="16"/>
      <c r="M273" s="102"/>
      <c r="N273" s="103"/>
      <c r="O273" s="27"/>
      <c r="P273" s="27"/>
      <c r="Q273" s="27"/>
      <c r="R273" s="27"/>
      <c r="S273" s="27"/>
      <c r="T273" s="28"/>
      <c r="U273" s="156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T273" s="10" t="s">
        <v>84</v>
      </c>
      <c r="AU273" s="10" t="s">
        <v>47</v>
      </c>
    </row>
    <row r="274" spans="1:65" s="1" customFormat="1" ht="29.25" x14ac:dyDescent="0.2">
      <c r="A274" s="156"/>
      <c r="B274" s="16"/>
      <c r="C274" s="156"/>
      <c r="D274" s="99" t="s">
        <v>86</v>
      </c>
      <c r="E274" s="156"/>
      <c r="F274" s="104" t="s">
        <v>217</v>
      </c>
      <c r="G274" s="156"/>
      <c r="H274" s="156"/>
      <c r="I274" s="101"/>
      <c r="J274" s="156"/>
      <c r="K274" s="156"/>
      <c r="L274" s="16"/>
      <c r="M274" s="102"/>
      <c r="N274" s="103"/>
      <c r="O274" s="27"/>
      <c r="P274" s="27"/>
      <c r="Q274" s="27"/>
      <c r="R274" s="27"/>
      <c r="S274" s="27"/>
      <c r="T274" s="28"/>
      <c r="U274" s="156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T274" s="10" t="s">
        <v>86</v>
      </c>
      <c r="AU274" s="10" t="s">
        <v>47</v>
      </c>
    </row>
    <row r="275" spans="1:65" s="1" customFormat="1" ht="14.45" customHeight="1" x14ac:dyDescent="0.2">
      <c r="A275" s="156"/>
      <c r="B275" s="85"/>
      <c r="C275" s="136" t="s">
        <v>312</v>
      </c>
      <c r="D275" s="136" t="s">
        <v>126</v>
      </c>
      <c r="E275" s="137" t="s">
        <v>313</v>
      </c>
      <c r="F275" s="138" t="s">
        <v>314</v>
      </c>
      <c r="G275" s="139" t="s">
        <v>309</v>
      </c>
      <c r="H275" s="140">
        <v>4</v>
      </c>
      <c r="I275" s="141">
        <v>100.40486420000001</v>
      </c>
      <c r="J275" s="142">
        <f>ROUND(I275*H275,2)</f>
        <v>401.62</v>
      </c>
      <c r="K275" s="138" t="s">
        <v>82</v>
      </c>
      <c r="L275" s="143"/>
      <c r="M275" s="144" t="s">
        <v>0</v>
      </c>
      <c r="N275" s="145" t="s">
        <v>27</v>
      </c>
      <c r="O275" s="27"/>
      <c r="P275" s="95">
        <f>O275*H275</f>
        <v>0</v>
      </c>
      <c r="Q275" s="95">
        <v>6.4999999999999997E-4</v>
      </c>
      <c r="R275" s="95">
        <f>Q275*H275</f>
        <v>2.5999999999999999E-3</v>
      </c>
      <c r="S275" s="95">
        <v>0</v>
      </c>
      <c r="T275" s="96">
        <f>S275*H275</f>
        <v>0</v>
      </c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R275" s="97" t="s">
        <v>129</v>
      </c>
      <c r="AT275" s="97" t="s">
        <v>126</v>
      </c>
      <c r="AU275" s="97" t="s">
        <v>47</v>
      </c>
      <c r="AY275" s="10" t="s">
        <v>75</v>
      </c>
      <c r="BE275" s="98">
        <f>IF(N275="základní",J275,0)</f>
        <v>401.62</v>
      </c>
      <c r="BF275" s="98">
        <f>IF(N275="snížená",J275,0)</f>
        <v>0</v>
      </c>
      <c r="BG275" s="98">
        <f>IF(N275="zákl. přenesená",J275,0)</f>
        <v>0</v>
      </c>
      <c r="BH275" s="98">
        <f>IF(N275="sníž. přenesená",J275,0)</f>
        <v>0</v>
      </c>
      <c r="BI275" s="98">
        <f>IF(N275="nulová",J275,0)</f>
        <v>0</v>
      </c>
      <c r="BJ275" s="10" t="s">
        <v>46</v>
      </c>
      <c r="BK275" s="98">
        <f>ROUND(I275*H275,2)</f>
        <v>401.62</v>
      </c>
      <c r="BL275" s="10" t="s">
        <v>83</v>
      </c>
      <c r="BM275" s="97" t="s">
        <v>315</v>
      </c>
    </row>
    <row r="276" spans="1:65" s="1" customFormat="1" x14ac:dyDescent="0.2">
      <c r="A276" s="156"/>
      <c r="B276" s="16"/>
      <c r="C276" s="156"/>
      <c r="D276" s="99" t="s">
        <v>84</v>
      </c>
      <c r="E276" s="156"/>
      <c r="F276" s="100" t="s">
        <v>316</v>
      </c>
      <c r="G276" s="156"/>
      <c r="H276" s="156"/>
      <c r="I276" s="101"/>
      <c r="J276" s="156"/>
      <c r="K276" s="156"/>
      <c r="L276" s="16"/>
      <c r="M276" s="102"/>
      <c r="N276" s="103"/>
      <c r="O276" s="27"/>
      <c r="P276" s="27"/>
      <c r="Q276" s="27"/>
      <c r="R276" s="27"/>
      <c r="S276" s="27"/>
      <c r="T276" s="28"/>
      <c r="U276" s="156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T276" s="10" t="s">
        <v>84</v>
      </c>
      <c r="AU276" s="10" t="s">
        <v>47</v>
      </c>
    </row>
    <row r="277" spans="1:65" s="1" customFormat="1" ht="14.45" customHeight="1" x14ac:dyDescent="0.2">
      <c r="A277" s="156"/>
      <c r="B277" s="85"/>
      <c r="C277" s="136" t="s">
        <v>317</v>
      </c>
      <c r="D277" s="136" t="s">
        <v>126</v>
      </c>
      <c r="E277" s="137" t="s">
        <v>318</v>
      </c>
      <c r="F277" s="138" t="s">
        <v>319</v>
      </c>
      <c r="G277" s="139" t="s">
        <v>309</v>
      </c>
      <c r="H277" s="140">
        <v>4</v>
      </c>
      <c r="I277" s="141">
        <v>236.80392499999999</v>
      </c>
      <c r="J277" s="142">
        <f>ROUND(I277*H277,2)</f>
        <v>947.22</v>
      </c>
      <c r="K277" s="138" t="s">
        <v>0</v>
      </c>
      <c r="L277" s="143"/>
      <c r="M277" s="144" t="s">
        <v>0</v>
      </c>
      <c r="N277" s="145" t="s">
        <v>27</v>
      </c>
      <c r="O277" s="27"/>
      <c r="P277" s="95">
        <f>O277*H277</f>
        <v>0</v>
      </c>
      <c r="Q277" s="95">
        <v>6.4999999999999997E-4</v>
      </c>
      <c r="R277" s="95">
        <f>Q277*H277</f>
        <v>2.5999999999999999E-3</v>
      </c>
      <c r="S277" s="95">
        <v>0</v>
      </c>
      <c r="T277" s="96">
        <f>S277*H277</f>
        <v>0</v>
      </c>
      <c r="U277" s="156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R277" s="97" t="s">
        <v>129</v>
      </c>
      <c r="AT277" s="97" t="s">
        <v>126</v>
      </c>
      <c r="AU277" s="97" t="s">
        <v>47</v>
      </c>
      <c r="AY277" s="10" t="s">
        <v>75</v>
      </c>
      <c r="BE277" s="98">
        <f>IF(N277="základní",J277,0)</f>
        <v>947.22</v>
      </c>
      <c r="BF277" s="98">
        <f>IF(N277="snížená",J277,0)</f>
        <v>0</v>
      </c>
      <c r="BG277" s="98">
        <f>IF(N277="zákl. přenesená",J277,0)</f>
        <v>0</v>
      </c>
      <c r="BH277" s="98">
        <f>IF(N277="sníž. přenesená",J277,0)</f>
        <v>0</v>
      </c>
      <c r="BI277" s="98">
        <f>IF(N277="nulová",J277,0)</f>
        <v>0</v>
      </c>
      <c r="BJ277" s="10" t="s">
        <v>46</v>
      </c>
      <c r="BK277" s="98">
        <f>ROUND(I277*H277,2)</f>
        <v>947.22</v>
      </c>
      <c r="BL277" s="10" t="s">
        <v>83</v>
      </c>
      <c r="BM277" s="97" t="s">
        <v>320</v>
      </c>
    </row>
    <row r="278" spans="1:65" s="1" customFormat="1" x14ac:dyDescent="0.2">
      <c r="A278" s="156"/>
      <c r="B278" s="16"/>
      <c r="C278" s="156"/>
      <c r="D278" s="99" t="s">
        <v>84</v>
      </c>
      <c r="E278" s="156"/>
      <c r="F278" s="100" t="s">
        <v>319</v>
      </c>
      <c r="G278" s="156"/>
      <c r="H278" s="156"/>
      <c r="I278" s="101"/>
      <c r="J278" s="156"/>
      <c r="K278" s="156"/>
      <c r="L278" s="16"/>
      <c r="M278" s="102"/>
      <c r="N278" s="103"/>
      <c r="O278" s="27"/>
      <c r="P278" s="27"/>
      <c r="Q278" s="27"/>
      <c r="R278" s="27"/>
      <c r="S278" s="27"/>
      <c r="T278" s="28"/>
      <c r="U278" s="156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T278" s="10" t="s">
        <v>84</v>
      </c>
      <c r="AU278" s="10" t="s">
        <v>47</v>
      </c>
    </row>
    <row r="279" spans="1:65" s="1" customFormat="1" ht="14.45" customHeight="1" x14ac:dyDescent="0.2">
      <c r="A279" s="156"/>
      <c r="B279" s="85"/>
      <c r="C279" s="86" t="s">
        <v>321</v>
      </c>
      <c r="D279" s="86" t="s">
        <v>78</v>
      </c>
      <c r="E279" s="87" t="s">
        <v>322</v>
      </c>
      <c r="F279" s="88" t="s">
        <v>323</v>
      </c>
      <c r="G279" s="89" t="s">
        <v>309</v>
      </c>
      <c r="H279" s="90">
        <v>4</v>
      </c>
      <c r="I279" s="91">
        <v>214.24530512569368</v>
      </c>
      <c r="J279" s="92">
        <f>ROUND(I279*H279,2)</f>
        <v>856.98</v>
      </c>
      <c r="K279" s="88" t="s">
        <v>82</v>
      </c>
      <c r="L279" s="16"/>
      <c r="M279" s="93" t="s">
        <v>0</v>
      </c>
      <c r="N279" s="94" t="s">
        <v>27</v>
      </c>
      <c r="O279" s="27"/>
      <c r="P279" s="95">
        <f>O279*H279</f>
        <v>0</v>
      </c>
      <c r="Q279" s="95">
        <v>0</v>
      </c>
      <c r="R279" s="95">
        <f>Q279*H279</f>
        <v>0</v>
      </c>
      <c r="S279" s="95">
        <v>0</v>
      </c>
      <c r="T279" s="96">
        <f>S279*H279</f>
        <v>0</v>
      </c>
      <c r="U279" s="156"/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/>
      <c r="AR279" s="97" t="s">
        <v>83</v>
      </c>
      <c r="AT279" s="97" t="s">
        <v>78</v>
      </c>
      <c r="AU279" s="97" t="s">
        <v>47</v>
      </c>
      <c r="AY279" s="10" t="s">
        <v>75</v>
      </c>
      <c r="BE279" s="98">
        <f>IF(N279="základní",J279,0)</f>
        <v>856.98</v>
      </c>
      <c r="BF279" s="98">
        <f>IF(N279="snížená",J279,0)</f>
        <v>0</v>
      </c>
      <c r="BG279" s="98">
        <f>IF(N279="zákl. přenesená",J279,0)</f>
        <v>0</v>
      </c>
      <c r="BH279" s="98">
        <f>IF(N279="sníž. přenesená",J279,0)</f>
        <v>0</v>
      </c>
      <c r="BI279" s="98">
        <f>IF(N279="nulová",J279,0)</f>
        <v>0</v>
      </c>
      <c r="BJ279" s="10" t="s">
        <v>46</v>
      </c>
      <c r="BK279" s="98">
        <f>ROUND(I279*H279,2)</f>
        <v>856.98</v>
      </c>
      <c r="BL279" s="10" t="s">
        <v>83</v>
      </c>
      <c r="BM279" s="97" t="s">
        <v>324</v>
      </c>
    </row>
    <row r="280" spans="1:65" s="1" customFormat="1" ht="19.5" x14ac:dyDescent="0.2">
      <c r="A280" s="156"/>
      <c r="B280" s="16"/>
      <c r="C280" s="156"/>
      <c r="D280" s="99" t="s">
        <v>84</v>
      </c>
      <c r="E280" s="156"/>
      <c r="F280" s="100" t="s">
        <v>325</v>
      </c>
      <c r="G280" s="156"/>
      <c r="H280" s="156"/>
      <c r="I280" s="101"/>
      <c r="J280" s="156"/>
      <c r="K280" s="156"/>
      <c r="L280" s="16"/>
      <c r="M280" s="102"/>
      <c r="N280" s="103"/>
      <c r="O280" s="27"/>
      <c r="P280" s="27"/>
      <c r="Q280" s="27"/>
      <c r="R280" s="27"/>
      <c r="S280" s="27"/>
      <c r="T280" s="28"/>
      <c r="U280" s="156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T280" s="10" t="s">
        <v>84</v>
      </c>
      <c r="AU280" s="10" t="s">
        <v>47</v>
      </c>
    </row>
    <row r="281" spans="1:65" s="1" customFormat="1" ht="29.25" x14ac:dyDescent="0.2">
      <c r="A281" s="156"/>
      <c r="B281" s="16"/>
      <c r="C281" s="156"/>
      <c r="D281" s="99" t="s">
        <v>86</v>
      </c>
      <c r="E281" s="156"/>
      <c r="F281" s="104" t="s">
        <v>217</v>
      </c>
      <c r="G281" s="156"/>
      <c r="H281" s="156"/>
      <c r="I281" s="101"/>
      <c r="J281" s="156"/>
      <c r="K281" s="156"/>
      <c r="L281" s="16"/>
      <c r="M281" s="102"/>
      <c r="N281" s="103"/>
      <c r="O281" s="27"/>
      <c r="P281" s="27"/>
      <c r="Q281" s="27"/>
      <c r="R281" s="27"/>
      <c r="S281" s="27"/>
      <c r="T281" s="28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T281" s="10" t="s">
        <v>86</v>
      </c>
      <c r="AU281" s="10" t="s">
        <v>47</v>
      </c>
    </row>
    <row r="282" spans="1:65" s="6" customFormat="1" x14ac:dyDescent="0.2">
      <c r="B282" s="105"/>
      <c r="D282" s="99" t="s">
        <v>87</v>
      </c>
      <c r="E282" s="106" t="s">
        <v>0</v>
      </c>
      <c r="F282" s="107" t="s">
        <v>326</v>
      </c>
      <c r="H282" s="106" t="s">
        <v>0</v>
      </c>
      <c r="I282" s="108"/>
      <c r="L282" s="105"/>
      <c r="M282" s="109"/>
      <c r="N282" s="110"/>
      <c r="O282" s="110"/>
      <c r="P282" s="110"/>
      <c r="Q282" s="110"/>
      <c r="R282" s="110"/>
      <c r="S282" s="110"/>
      <c r="T282" s="111"/>
      <c r="AT282" s="106" t="s">
        <v>87</v>
      </c>
      <c r="AU282" s="106" t="s">
        <v>47</v>
      </c>
      <c r="AV282" s="6" t="s">
        <v>46</v>
      </c>
      <c r="AW282" s="6" t="s">
        <v>19</v>
      </c>
      <c r="AX282" s="6" t="s">
        <v>45</v>
      </c>
      <c r="AY282" s="106" t="s">
        <v>75</v>
      </c>
    </row>
    <row r="283" spans="1:65" s="7" customFormat="1" x14ac:dyDescent="0.2">
      <c r="B283" s="112"/>
      <c r="D283" s="99" t="s">
        <v>87</v>
      </c>
      <c r="E283" s="113" t="s">
        <v>0</v>
      </c>
      <c r="F283" s="114" t="s">
        <v>327</v>
      </c>
      <c r="H283" s="115">
        <v>2</v>
      </c>
      <c r="I283" s="116"/>
      <c r="L283" s="112"/>
      <c r="M283" s="117"/>
      <c r="N283" s="118"/>
      <c r="O283" s="118"/>
      <c r="P283" s="118"/>
      <c r="Q283" s="118"/>
      <c r="R283" s="118"/>
      <c r="S283" s="118"/>
      <c r="T283" s="119"/>
      <c r="AT283" s="113" t="s">
        <v>87</v>
      </c>
      <c r="AU283" s="113" t="s">
        <v>47</v>
      </c>
      <c r="AV283" s="7" t="s">
        <v>47</v>
      </c>
      <c r="AW283" s="7" t="s">
        <v>19</v>
      </c>
      <c r="AX283" s="7" t="s">
        <v>46</v>
      </c>
      <c r="AY283" s="113" t="s">
        <v>75</v>
      </c>
    </row>
    <row r="284" spans="1:65" s="1" customFormat="1" ht="14.45" customHeight="1" x14ac:dyDescent="0.2">
      <c r="A284" s="156"/>
      <c r="B284" s="85"/>
      <c r="C284" s="136" t="s">
        <v>328</v>
      </c>
      <c r="D284" s="136" t="s">
        <v>126</v>
      </c>
      <c r="E284" s="137" t="s">
        <v>329</v>
      </c>
      <c r="F284" s="138" t="s">
        <v>330</v>
      </c>
      <c r="G284" s="139" t="s">
        <v>309</v>
      </c>
      <c r="H284" s="140">
        <v>4</v>
      </c>
      <c r="I284" s="141">
        <v>59.200981249999998</v>
      </c>
      <c r="J284" s="142">
        <f>ROUND(I284*H284,2)</f>
        <v>236.8</v>
      </c>
      <c r="K284" s="138" t="s">
        <v>82</v>
      </c>
      <c r="L284" s="143"/>
      <c r="M284" s="144" t="s">
        <v>0</v>
      </c>
      <c r="N284" s="145" t="s">
        <v>27</v>
      </c>
      <c r="O284" s="27"/>
      <c r="P284" s="95">
        <f>O284*H284</f>
        <v>0</v>
      </c>
      <c r="Q284" s="95">
        <v>2.9E-4</v>
      </c>
      <c r="R284" s="95">
        <f>Q284*H284</f>
        <v>1.16E-3</v>
      </c>
      <c r="S284" s="95">
        <v>0</v>
      </c>
      <c r="T284" s="96">
        <f>S284*H284</f>
        <v>0</v>
      </c>
      <c r="U284" s="156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R284" s="97" t="s">
        <v>129</v>
      </c>
      <c r="AT284" s="97" t="s">
        <v>126</v>
      </c>
      <c r="AU284" s="97" t="s">
        <v>47</v>
      </c>
      <c r="AY284" s="10" t="s">
        <v>75</v>
      </c>
      <c r="BE284" s="98">
        <f>IF(N284="základní",J284,0)</f>
        <v>236.8</v>
      </c>
      <c r="BF284" s="98">
        <f>IF(N284="snížená",J284,0)</f>
        <v>0</v>
      </c>
      <c r="BG284" s="98">
        <f>IF(N284="zákl. přenesená",J284,0)</f>
        <v>0</v>
      </c>
      <c r="BH284" s="98">
        <f>IF(N284="sníž. přenesená",J284,0)</f>
        <v>0</v>
      </c>
      <c r="BI284" s="98">
        <f>IF(N284="nulová",J284,0)</f>
        <v>0</v>
      </c>
      <c r="BJ284" s="10" t="s">
        <v>46</v>
      </c>
      <c r="BK284" s="98">
        <f>ROUND(I284*H284,2)</f>
        <v>236.8</v>
      </c>
      <c r="BL284" s="10" t="s">
        <v>83</v>
      </c>
      <c r="BM284" s="97" t="s">
        <v>331</v>
      </c>
    </row>
    <row r="285" spans="1:65" s="1" customFormat="1" x14ac:dyDescent="0.2">
      <c r="A285" s="156"/>
      <c r="B285" s="16"/>
      <c r="C285" s="156"/>
      <c r="D285" s="99" t="s">
        <v>84</v>
      </c>
      <c r="E285" s="156"/>
      <c r="F285" s="100" t="s">
        <v>330</v>
      </c>
      <c r="G285" s="156"/>
      <c r="H285" s="156"/>
      <c r="I285" s="101"/>
      <c r="J285" s="156"/>
      <c r="K285" s="156"/>
      <c r="L285" s="16"/>
      <c r="M285" s="102"/>
      <c r="N285" s="103"/>
      <c r="O285" s="27"/>
      <c r="P285" s="27"/>
      <c r="Q285" s="27"/>
      <c r="R285" s="27"/>
      <c r="S285" s="27"/>
      <c r="T285" s="28"/>
      <c r="U285" s="156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T285" s="10" t="s">
        <v>84</v>
      </c>
      <c r="AU285" s="10" t="s">
        <v>47</v>
      </c>
    </row>
    <row r="286" spans="1:65" s="1" customFormat="1" ht="14.45" customHeight="1" x14ac:dyDescent="0.2">
      <c r="A286" s="156"/>
      <c r="B286" s="85"/>
      <c r="C286" s="86" t="s">
        <v>327</v>
      </c>
      <c r="D286" s="86" t="s">
        <v>78</v>
      </c>
      <c r="E286" s="87" t="s">
        <v>332</v>
      </c>
      <c r="F286" s="88" t="s">
        <v>333</v>
      </c>
      <c r="G286" s="89" t="s">
        <v>270</v>
      </c>
      <c r="H286" s="90">
        <v>17.7</v>
      </c>
      <c r="I286" s="91">
        <v>21.984104604889872</v>
      </c>
      <c r="J286" s="92">
        <f>ROUND(I286*H286,2)</f>
        <v>389.12</v>
      </c>
      <c r="K286" s="88" t="s">
        <v>82</v>
      </c>
      <c r="L286" s="16"/>
      <c r="M286" s="93" t="s">
        <v>0</v>
      </c>
      <c r="N286" s="94" t="s">
        <v>27</v>
      </c>
      <c r="O286" s="27"/>
      <c r="P286" s="95">
        <f>O286*H286</f>
        <v>0</v>
      </c>
      <c r="Q286" s="95">
        <v>0</v>
      </c>
      <c r="R286" s="95">
        <f>Q286*H286</f>
        <v>0</v>
      </c>
      <c r="S286" s="95">
        <v>0</v>
      </c>
      <c r="T286" s="96">
        <f>S286*H286</f>
        <v>0</v>
      </c>
      <c r="U286" s="156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R286" s="97" t="s">
        <v>83</v>
      </c>
      <c r="AT286" s="97" t="s">
        <v>78</v>
      </c>
      <c r="AU286" s="97" t="s">
        <v>47</v>
      </c>
      <c r="AY286" s="10" t="s">
        <v>75</v>
      </c>
      <c r="BE286" s="98">
        <f>IF(N286="základní",J286,0)</f>
        <v>389.12</v>
      </c>
      <c r="BF286" s="98">
        <f>IF(N286="snížená",J286,0)</f>
        <v>0</v>
      </c>
      <c r="BG286" s="98">
        <f>IF(N286="zákl. přenesená",J286,0)</f>
        <v>0</v>
      </c>
      <c r="BH286" s="98">
        <f>IF(N286="sníž. přenesená",J286,0)</f>
        <v>0</v>
      </c>
      <c r="BI286" s="98">
        <f>IF(N286="nulová",J286,0)</f>
        <v>0</v>
      </c>
      <c r="BJ286" s="10" t="s">
        <v>46</v>
      </c>
      <c r="BK286" s="98">
        <f>ROUND(I286*H286,2)</f>
        <v>389.12</v>
      </c>
      <c r="BL286" s="10" t="s">
        <v>83</v>
      </c>
      <c r="BM286" s="97" t="s">
        <v>334</v>
      </c>
    </row>
    <row r="287" spans="1:65" s="1" customFormat="1" x14ac:dyDescent="0.2">
      <c r="A287" s="156"/>
      <c r="B287" s="16"/>
      <c r="C287" s="156"/>
      <c r="D287" s="99" t="s">
        <v>84</v>
      </c>
      <c r="E287" s="156"/>
      <c r="F287" s="100" t="s">
        <v>335</v>
      </c>
      <c r="G287" s="156"/>
      <c r="H287" s="156"/>
      <c r="I287" s="101"/>
      <c r="J287" s="156"/>
      <c r="K287" s="156"/>
      <c r="L287" s="16"/>
      <c r="M287" s="102"/>
      <c r="N287" s="103"/>
      <c r="O287" s="27"/>
      <c r="P287" s="27"/>
      <c r="Q287" s="27"/>
      <c r="R287" s="27"/>
      <c r="S287" s="27"/>
      <c r="T287" s="28"/>
      <c r="U287" s="156"/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6"/>
      <c r="AT287" s="10" t="s">
        <v>84</v>
      </c>
      <c r="AU287" s="10" t="s">
        <v>47</v>
      </c>
    </row>
    <row r="288" spans="1:65" s="1" customFormat="1" ht="19.5" x14ac:dyDescent="0.2">
      <c r="A288" s="156"/>
      <c r="B288" s="16"/>
      <c r="C288" s="156"/>
      <c r="D288" s="99" t="s">
        <v>86</v>
      </c>
      <c r="E288" s="156"/>
      <c r="F288" s="104" t="s">
        <v>336</v>
      </c>
      <c r="G288" s="156"/>
      <c r="H288" s="156"/>
      <c r="I288" s="101"/>
      <c r="J288" s="156"/>
      <c r="K288" s="156"/>
      <c r="L288" s="16"/>
      <c r="M288" s="102"/>
      <c r="N288" s="103"/>
      <c r="O288" s="27"/>
      <c r="P288" s="27"/>
      <c r="Q288" s="27"/>
      <c r="R288" s="27"/>
      <c r="S288" s="27"/>
      <c r="T288" s="28"/>
      <c r="U288" s="156"/>
      <c r="V288" s="156"/>
      <c r="W288" s="156"/>
      <c r="X288" s="156"/>
      <c r="Y288" s="156"/>
      <c r="Z288" s="156"/>
      <c r="AA288" s="156"/>
      <c r="AB288" s="156"/>
      <c r="AC288" s="156"/>
      <c r="AD288" s="156"/>
      <c r="AE288" s="156"/>
      <c r="AT288" s="10" t="s">
        <v>86</v>
      </c>
      <c r="AU288" s="10" t="s">
        <v>47</v>
      </c>
    </row>
    <row r="289" spans="1:65" s="1" customFormat="1" ht="24.2" customHeight="1" x14ac:dyDescent="0.2">
      <c r="A289" s="156"/>
      <c r="B289" s="85"/>
      <c r="C289" s="86" t="s">
        <v>169</v>
      </c>
      <c r="D289" s="86" t="s">
        <v>78</v>
      </c>
      <c r="E289" s="87" t="s">
        <v>337</v>
      </c>
      <c r="F289" s="88" t="s">
        <v>338</v>
      </c>
      <c r="G289" s="89" t="s">
        <v>309</v>
      </c>
      <c r="H289" s="90">
        <v>3</v>
      </c>
      <c r="I289" s="91">
        <v>3029.9958423936168</v>
      </c>
      <c r="J289" s="92">
        <f>ROUND(I289*H289,2)</f>
        <v>9089.99</v>
      </c>
      <c r="K289" s="88" t="s">
        <v>82</v>
      </c>
      <c r="L289" s="16"/>
      <c r="M289" s="93" t="s">
        <v>0</v>
      </c>
      <c r="N289" s="94" t="s">
        <v>27</v>
      </c>
      <c r="O289" s="27"/>
      <c r="P289" s="95">
        <f>O289*H289</f>
        <v>0</v>
      </c>
      <c r="Q289" s="95">
        <v>5.8029999999999998E-2</v>
      </c>
      <c r="R289" s="95">
        <f>Q289*H289</f>
        <v>0.17408999999999999</v>
      </c>
      <c r="S289" s="95">
        <v>0</v>
      </c>
      <c r="T289" s="96">
        <f>S289*H289</f>
        <v>0</v>
      </c>
      <c r="U289" s="156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R289" s="97" t="s">
        <v>83</v>
      </c>
      <c r="AT289" s="97" t="s">
        <v>78</v>
      </c>
      <c r="AU289" s="97" t="s">
        <v>47</v>
      </c>
      <c r="AY289" s="10" t="s">
        <v>75</v>
      </c>
      <c r="BE289" s="98">
        <f>IF(N289="základní",J289,0)</f>
        <v>9089.99</v>
      </c>
      <c r="BF289" s="98">
        <f>IF(N289="snížená",J289,0)</f>
        <v>0</v>
      </c>
      <c r="BG289" s="98">
        <f>IF(N289="zákl. přenesená",J289,0)</f>
        <v>0</v>
      </c>
      <c r="BH289" s="98">
        <f>IF(N289="sníž. přenesená",J289,0)</f>
        <v>0</v>
      </c>
      <c r="BI289" s="98">
        <f>IF(N289="nulová",J289,0)</f>
        <v>0</v>
      </c>
      <c r="BJ289" s="10" t="s">
        <v>46</v>
      </c>
      <c r="BK289" s="98">
        <f>ROUND(I289*H289,2)</f>
        <v>9089.99</v>
      </c>
      <c r="BL289" s="10" t="s">
        <v>83</v>
      </c>
      <c r="BM289" s="97" t="s">
        <v>339</v>
      </c>
    </row>
    <row r="290" spans="1:65" s="1" customFormat="1" ht="29.25" x14ac:dyDescent="0.2">
      <c r="A290" s="156"/>
      <c r="B290" s="16"/>
      <c r="C290" s="156"/>
      <c r="D290" s="99" t="s">
        <v>84</v>
      </c>
      <c r="E290" s="156"/>
      <c r="F290" s="100" t="s">
        <v>340</v>
      </c>
      <c r="G290" s="156"/>
      <c r="H290" s="156"/>
      <c r="I290" s="101"/>
      <c r="J290" s="156"/>
      <c r="K290" s="156"/>
      <c r="L290" s="16"/>
      <c r="M290" s="102"/>
      <c r="N290" s="103"/>
      <c r="O290" s="27"/>
      <c r="P290" s="27"/>
      <c r="Q290" s="27"/>
      <c r="R290" s="27"/>
      <c r="S290" s="27"/>
      <c r="T290" s="28"/>
      <c r="U290" s="156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T290" s="10" t="s">
        <v>84</v>
      </c>
      <c r="AU290" s="10" t="s">
        <v>47</v>
      </c>
    </row>
    <row r="291" spans="1:65" s="1" customFormat="1" ht="29.25" x14ac:dyDescent="0.2">
      <c r="A291" s="156"/>
      <c r="B291" s="16"/>
      <c r="C291" s="156"/>
      <c r="D291" s="99" t="s">
        <v>86</v>
      </c>
      <c r="E291" s="156"/>
      <c r="F291" s="104" t="s">
        <v>217</v>
      </c>
      <c r="G291" s="156"/>
      <c r="H291" s="156"/>
      <c r="I291" s="101"/>
      <c r="J291" s="156"/>
      <c r="K291" s="156"/>
      <c r="L291" s="16"/>
      <c r="M291" s="102"/>
      <c r="N291" s="103"/>
      <c r="O291" s="27"/>
      <c r="P291" s="27"/>
      <c r="Q291" s="27"/>
      <c r="R291" s="27"/>
      <c r="S291" s="27"/>
      <c r="T291" s="28"/>
      <c r="U291" s="156"/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/>
      <c r="AT291" s="10" t="s">
        <v>86</v>
      </c>
      <c r="AU291" s="10" t="s">
        <v>47</v>
      </c>
    </row>
    <row r="292" spans="1:65" s="7" customFormat="1" x14ac:dyDescent="0.2">
      <c r="B292" s="112"/>
      <c r="D292" s="99" t="s">
        <v>87</v>
      </c>
      <c r="E292" s="113" t="s">
        <v>0</v>
      </c>
      <c r="F292" s="114" t="s">
        <v>116</v>
      </c>
      <c r="H292" s="115">
        <v>3</v>
      </c>
      <c r="I292" s="116"/>
      <c r="L292" s="112"/>
      <c r="M292" s="117"/>
      <c r="N292" s="118"/>
      <c r="O292" s="118"/>
      <c r="P292" s="118"/>
      <c r="Q292" s="118"/>
      <c r="R292" s="118"/>
      <c r="S292" s="118"/>
      <c r="T292" s="119"/>
      <c r="AT292" s="113" t="s">
        <v>87</v>
      </c>
      <c r="AU292" s="113" t="s">
        <v>47</v>
      </c>
      <c r="AV292" s="7" t="s">
        <v>47</v>
      </c>
      <c r="AW292" s="7" t="s">
        <v>19</v>
      </c>
      <c r="AX292" s="7" t="s">
        <v>46</v>
      </c>
      <c r="AY292" s="113" t="s">
        <v>75</v>
      </c>
    </row>
    <row r="293" spans="1:65" s="1" customFormat="1" ht="24.2" customHeight="1" x14ac:dyDescent="0.2">
      <c r="A293" s="156"/>
      <c r="B293" s="85"/>
      <c r="C293" s="86" t="s">
        <v>173</v>
      </c>
      <c r="D293" s="86" t="s">
        <v>78</v>
      </c>
      <c r="E293" s="87" t="s">
        <v>341</v>
      </c>
      <c r="F293" s="88" t="s">
        <v>342</v>
      </c>
      <c r="G293" s="89" t="s">
        <v>309</v>
      </c>
      <c r="H293" s="90">
        <v>3</v>
      </c>
      <c r="I293" s="91">
        <v>1731.8858985723084</v>
      </c>
      <c r="J293" s="92">
        <f>ROUND(I293*H293,2)</f>
        <v>5195.66</v>
      </c>
      <c r="K293" s="88" t="s">
        <v>82</v>
      </c>
      <c r="L293" s="16"/>
      <c r="M293" s="93" t="s">
        <v>0</v>
      </c>
      <c r="N293" s="94" t="s">
        <v>27</v>
      </c>
      <c r="O293" s="27"/>
      <c r="P293" s="95">
        <f>O293*H293</f>
        <v>0</v>
      </c>
      <c r="Q293" s="95">
        <v>1.136E-2</v>
      </c>
      <c r="R293" s="95">
        <f>Q293*H293</f>
        <v>3.4079999999999999E-2</v>
      </c>
      <c r="S293" s="95">
        <v>0</v>
      </c>
      <c r="T293" s="96">
        <f>S293*H293</f>
        <v>0</v>
      </c>
      <c r="U293" s="156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R293" s="97" t="s">
        <v>83</v>
      </c>
      <c r="AT293" s="97" t="s">
        <v>78</v>
      </c>
      <c r="AU293" s="97" t="s">
        <v>47</v>
      </c>
      <c r="AY293" s="10" t="s">
        <v>75</v>
      </c>
      <c r="BE293" s="98">
        <f>IF(N293="základní",J293,0)</f>
        <v>5195.66</v>
      </c>
      <c r="BF293" s="98">
        <f>IF(N293="snížená",J293,0)</f>
        <v>0</v>
      </c>
      <c r="BG293" s="98">
        <f>IF(N293="zákl. přenesená",J293,0)</f>
        <v>0</v>
      </c>
      <c r="BH293" s="98">
        <f>IF(N293="sníž. přenesená",J293,0)</f>
        <v>0</v>
      </c>
      <c r="BI293" s="98">
        <f>IF(N293="nulová",J293,0)</f>
        <v>0</v>
      </c>
      <c r="BJ293" s="10" t="s">
        <v>46</v>
      </c>
      <c r="BK293" s="98">
        <f>ROUND(I293*H293,2)</f>
        <v>5195.66</v>
      </c>
      <c r="BL293" s="10" t="s">
        <v>83</v>
      </c>
      <c r="BM293" s="97" t="s">
        <v>343</v>
      </c>
    </row>
    <row r="294" spans="1:65" s="1" customFormat="1" ht="19.5" x14ac:dyDescent="0.2">
      <c r="A294" s="156"/>
      <c r="B294" s="16"/>
      <c r="C294" s="156"/>
      <c r="D294" s="99" t="s">
        <v>84</v>
      </c>
      <c r="E294" s="156"/>
      <c r="F294" s="100" t="s">
        <v>344</v>
      </c>
      <c r="G294" s="156"/>
      <c r="H294" s="156"/>
      <c r="I294" s="101"/>
      <c r="J294" s="156"/>
      <c r="K294" s="156"/>
      <c r="L294" s="16"/>
      <c r="M294" s="102"/>
      <c r="N294" s="103"/>
      <c r="O294" s="27"/>
      <c r="P294" s="27"/>
      <c r="Q294" s="27"/>
      <c r="R294" s="27"/>
      <c r="S294" s="27"/>
      <c r="T294" s="28"/>
      <c r="U294" s="156"/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/>
      <c r="AT294" s="10" t="s">
        <v>84</v>
      </c>
      <c r="AU294" s="10" t="s">
        <v>47</v>
      </c>
    </row>
    <row r="295" spans="1:65" s="1" customFormat="1" ht="24.2" customHeight="1" x14ac:dyDescent="0.2">
      <c r="A295" s="156"/>
      <c r="B295" s="85"/>
      <c r="C295" s="86" t="s">
        <v>345</v>
      </c>
      <c r="D295" s="86" t="s">
        <v>78</v>
      </c>
      <c r="E295" s="87" t="s">
        <v>346</v>
      </c>
      <c r="F295" s="88" t="s">
        <v>347</v>
      </c>
      <c r="G295" s="89" t="s">
        <v>309</v>
      </c>
      <c r="H295" s="90">
        <v>3</v>
      </c>
      <c r="I295" s="91">
        <v>769.70783374577138</v>
      </c>
      <c r="J295" s="92">
        <f>ROUND(I295*H295,2)</f>
        <v>2309.12</v>
      </c>
      <c r="K295" s="88" t="s">
        <v>82</v>
      </c>
      <c r="L295" s="16"/>
      <c r="M295" s="93" t="s">
        <v>0</v>
      </c>
      <c r="N295" s="94" t="s">
        <v>27</v>
      </c>
      <c r="O295" s="27"/>
      <c r="P295" s="95">
        <f>O295*H295</f>
        <v>0</v>
      </c>
      <c r="Q295" s="95">
        <v>6.2199999999999998E-3</v>
      </c>
      <c r="R295" s="95">
        <f>Q295*H295</f>
        <v>1.866E-2</v>
      </c>
      <c r="S295" s="95">
        <v>0</v>
      </c>
      <c r="T295" s="96">
        <f>S295*H295</f>
        <v>0</v>
      </c>
      <c r="U295" s="156"/>
      <c r="V295" s="156"/>
      <c r="W295" s="156"/>
      <c r="X295" s="156"/>
      <c r="Y295" s="156"/>
      <c r="Z295" s="156"/>
      <c r="AA295" s="156"/>
      <c r="AB295" s="156"/>
      <c r="AC295" s="156"/>
      <c r="AD295" s="156"/>
      <c r="AE295" s="156"/>
      <c r="AR295" s="97" t="s">
        <v>83</v>
      </c>
      <c r="AT295" s="97" t="s">
        <v>78</v>
      </c>
      <c r="AU295" s="97" t="s">
        <v>47</v>
      </c>
      <c r="AY295" s="10" t="s">
        <v>75</v>
      </c>
      <c r="BE295" s="98">
        <f>IF(N295="základní",J295,0)</f>
        <v>2309.12</v>
      </c>
      <c r="BF295" s="98">
        <f>IF(N295="snížená",J295,0)</f>
        <v>0</v>
      </c>
      <c r="BG295" s="98">
        <f>IF(N295="zákl. přenesená",J295,0)</f>
        <v>0</v>
      </c>
      <c r="BH295" s="98">
        <f>IF(N295="sníž. přenesená",J295,0)</f>
        <v>0</v>
      </c>
      <c r="BI295" s="98">
        <f>IF(N295="nulová",J295,0)</f>
        <v>0</v>
      </c>
      <c r="BJ295" s="10" t="s">
        <v>46</v>
      </c>
      <c r="BK295" s="98">
        <f>ROUND(I295*H295,2)</f>
        <v>2309.12</v>
      </c>
      <c r="BL295" s="10" t="s">
        <v>83</v>
      </c>
      <c r="BM295" s="97" t="s">
        <v>348</v>
      </c>
    </row>
    <row r="296" spans="1:65" s="1" customFormat="1" ht="29.25" x14ac:dyDescent="0.2">
      <c r="A296" s="156"/>
      <c r="B296" s="16"/>
      <c r="C296" s="156"/>
      <c r="D296" s="99" t="s">
        <v>84</v>
      </c>
      <c r="E296" s="156"/>
      <c r="F296" s="100" t="s">
        <v>349</v>
      </c>
      <c r="G296" s="156"/>
      <c r="H296" s="156"/>
      <c r="I296" s="101"/>
      <c r="J296" s="156"/>
      <c r="K296" s="156"/>
      <c r="L296" s="16"/>
      <c r="M296" s="102"/>
      <c r="N296" s="103"/>
      <c r="O296" s="27"/>
      <c r="P296" s="27"/>
      <c r="Q296" s="27"/>
      <c r="R296" s="27"/>
      <c r="S296" s="27"/>
      <c r="T296" s="28"/>
      <c r="U296" s="156"/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/>
      <c r="AT296" s="10" t="s">
        <v>84</v>
      </c>
      <c r="AU296" s="10" t="s">
        <v>47</v>
      </c>
    </row>
    <row r="297" spans="1:65" s="1" customFormat="1" ht="24.2" customHeight="1" x14ac:dyDescent="0.2">
      <c r="A297" s="156"/>
      <c r="B297" s="85"/>
      <c r="C297" s="86" t="s">
        <v>177</v>
      </c>
      <c r="D297" s="86" t="s">
        <v>78</v>
      </c>
      <c r="E297" s="87" t="s">
        <v>350</v>
      </c>
      <c r="F297" s="88" t="s">
        <v>351</v>
      </c>
      <c r="G297" s="89" t="s">
        <v>309</v>
      </c>
      <c r="H297" s="90">
        <v>3</v>
      </c>
      <c r="I297" s="91">
        <v>809.35201412271431</v>
      </c>
      <c r="J297" s="92">
        <f>ROUND(I297*H297,2)</f>
        <v>2428.06</v>
      </c>
      <c r="K297" s="88" t="s">
        <v>82</v>
      </c>
      <c r="L297" s="16"/>
      <c r="M297" s="93" t="s">
        <v>0</v>
      </c>
      <c r="N297" s="94" t="s">
        <v>27</v>
      </c>
      <c r="O297" s="27"/>
      <c r="P297" s="95">
        <f>O297*H297</f>
        <v>0</v>
      </c>
      <c r="Q297" s="95">
        <v>0</v>
      </c>
      <c r="R297" s="95">
        <f>Q297*H297</f>
        <v>0</v>
      </c>
      <c r="S297" s="95">
        <v>0</v>
      </c>
      <c r="T297" s="96">
        <f>S297*H297</f>
        <v>0</v>
      </c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R297" s="97" t="s">
        <v>83</v>
      </c>
      <c r="AT297" s="97" t="s">
        <v>78</v>
      </c>
      <c r="AU297" s="97" t="s">
        <v>47</v>
      </c>
      <c r="AY297" s="10" t="s">
        <v>75</v>
      </c>
      <c r="BE297" s="98">
        <f>IF(N297="základní",J297,0)</f>
        <v>2428.06</v>
      </c>
      <c r="BF297" s="98">
        <f>IF(N297="snížená",J297,0)</f>
        <v>0</v>
      </c>
      <c r="BG297" s="98">
        <f>IF(N297="zákl. přenesená",J297,0)</f>
        <v>0</v>
      </c>
      <c r="BH297" s="98">
        <f>IF(N297="sníž. přenesená",J297,0)</f>
        <v>0</v>
      </c>
      <c r="BI297" s="98">
        <f>IF(N297="nulová",J297,0)</f>
        <v>0</v>
      </c>
      <c r="BJ297" s="10" t="s">
        <v>46</v>
      </c>
      <c r="BK297" s="98">
        <f>ROUND(I297*H297,2)</f>
        <v>2428.06</v>
      </c>
      <c r="BL297" s="10" t="s">
        <v>83</v>
      </c>
      <c r="BM297" s="97" t="s">
        <v>352</v>
      </c>
    </row>
    <row r="298" spans="1:65" s="1" customFormat="1" ht="29.25" x14ac:dyDescent="0.2">
      <c r="A298" s="156"/>
      <c r="B298" s="16"/>
      <c r="C298" s="156"/>
      <c r="D298" s="99" t="s">
        <v>84</v>
      </c>
      <c r="E298" s="156"/>
      <c r="F298" s="100" t="s">
        <v>353</v>
      </c>
      <c r="G298" s="156"/>
      <c r="H298" s="156"/>
      <c r="I298" s="101"/>
      <c r="J298" s="156"/>
      <c r="K298" s="156"/>
      <c r="L298" s="16"/>
      <c r="M298" s="102"/>
      <c r="N298" s="103"/>
      <c r="O298" s="27"/>
      <c r="P298" s="27"/>
      <c r="Q298" s="27"/>
      <c r="R298" s="27"/>
      <c r="S298" s="27"/>
      <c r="T298" s="28"/>
      <c r="U298" s="156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T298" s="10" t="s">
        <v>84</v>
      </c>
      <c r="AU298" s="10" t="s">
        <v>47</v>
      </c>
    </row>
    <row r="299" spans="1:65" s="1" customFormat="1" ht="24.2" customHeight="1" x14ac:dyDescent="0.2">
      <c r="A299" s="156"/>
      <c r="B299" s="85"/>
      <c r="C299" s="86" t="s">
        <v>354</v>
      </c>
      <c r="D299" s="86" t="s">
        <v>78</v>
      </c>
      <c r="E299" s="87" t="s">
        <v>355</v>
      </c>
      <c r="F299" s="88" t="s">
        <v>356</v>
      </c>
      <c r="G299" s="89" t="s">
        <v>309</v>
      </c>
      <c r="H299" s="90">
        <v>3</v>
      </c>
      <c r="I299" s="91">
        <v>3446.6463092111458</v>
      </c>
      <c r="J299" s="92">
        <f>ROUND(I299*H299,2)</f>
        <v>10339.94</v>
      </c>
      <c r="K299" s="88" t="s">
        <v>82</v>
      </c>
      <c r="L299" s="16"/>
      <c r="M299" s="93" t="s">
        <v>0</v>
      </c>
      <c r="N299" s="94" t="s">
        <v>27</v>
      </c>
      <c r="O299" s="27"/>
      <c r="P299" s="95">
        <f>O299*H299</f>
        <v>0</v>
      </c>
      <c r="Q299" s="95">
        <v>5.4539999999999998E-2</v>
      </c>
      <c r="R299" s="95">
        <f>Q299*H299</f>
        <v>0.16361999999999999</v>
      </c>
      <c r="S299" s="95">
        <v>0</v>
      </c>
      <c r="T299" s="96">
        <f>S299*H299</f>
        <v>0</v>
      </c>
      <c r="U299" s="156"/>
      <c r="V299" s="156"/>
      <c r="W299" s="156"/>
      <c r="X299" s="156"/>
      <c r="Y299" s="156"/>
      <c r="Z299" s="156"/>
      <c r="AA299" s="156"/>
      <c r="AB299" s="156"/>
      <c r="AC299" s="156"/>
      <c r="AD299" s="156"/>
      <c r="AE299" s="156"/>
      <c r="AR299" s="97" t="s">
        <v>83</v>
      </c>
      <c r="AT299" s="97" t="s">
        <v>78</v>
      </c>
      <c r="AU299" s="97" t="s">
        <v>47</v>
      </c>
      <c r="AY299" s="10" t="s">
        <v>75</v>
      </c>
      <c r="BE299" s="98">
        <f>IF(N299="základní",J299,0)</f>
        <v>10339.94</v>
      </c>
      <c r="BF299" s="98">
        <f>IF(N299="snížená",J299,0)</f>
        <v>0</v>
      </c>
      <c r="BG299" s="98">
        <f>IF(N299="zákl. přenesená",J299,0)</f>
        <v>0</v>
      </c>
      <c r="BH299" s="98">
        <f>IF(N299="sníž. přenesená",J299,0)</f>
        <v>0</v>
      </c>
      <c r="BI299" s="98">
        <f>IF(N299="nulová",J299,0)</f>
        <v>0</v>
      </c>
      <c r="BJ299" s="10" t="s">
        <v>46</v>
      </c>
      <c r="BK299" s="98">
        <f>ROUND(I299*H299,2)</f>
        <v>10339.94</v>
      </c>
      <c r="BL299" s="10" t="s">
        <v>83</v>
      </c>
      <c r="BM299" s="97" t="s">
        <v>357</v>
      </c>
    </row>
    <row r="300" spans="1:65" s="1" customFormat="1" ht="29.25" x14ac:dyDescent="0.2">
      <c r="A300" s="156"/>
      <c r="B300" s="16"/>
      <c r="C300" s="156"/>
      <c r="D300" s="99" t="s">
        <v>84</v>
      </c>
      <c r="E300" s="156"/>
      <c r="F300" s="100" t="s">
        <v>358</v>
      </c>
      <c r="G300" s="156"/>
      <c r="H300" s="156"/>
      <c r="I300" s="101"/>
      <c r="J300" s="156"/>
      <c r="K300" s="156"/>
      <c r="L300" s="16"/>
      <c r="M300" s="102"/>
      <c r="N300" s="103"/>
      <c r="O300" s="27"/>
      <c r="P300" s="27"/>
      <c r="Q300" s="27"/>
      <c r="R300" s="27"/>
      <c r="S300" s="27"/>
      <c r="T300" s="28"/>
      <c r="U300" s="156"/>
      <c r="V300" s="156"/>
      <c r="W300" s="156"/>
      <c r="X300" s="156"/>
      <c r="Y300" s="156"/>
      <c r="Z300" s="156"/>
      <c r="AA300" s="156"/>
      <c r="AB300" s="156"/>
      <c r="AC300" s="156"/>
      <c r="AD300" s="156"/>
      <c r="AE300" s="156"/>
      <c r="AT300" s="10" t="s">
        <v>84</v>
      </c>
      <c r="AU300" s="10" t="s">
        <v>47</v>
      </c>
    </row>
    <row r="301" spans="1:65" s="1" customFormat="1" ht="24.2" customHeight="1" x14ac:dyDescent="0.2">
      <c r="A301" s="156"/>
      <c r="B301" s="85"/>
      <c r="C301" s="86" t="s">
        <v>142</v>
      </c>
      <c r="D301" s="86" t="s">
        <v>78</v>
      </c>
      <c r="E301" s="87" t="s">
        <v>359</v>
      </c>
      <c r="F301" s="88" t="s">
        <v>360</v>
      </c>
      <c r="G301" s="89" t="s">
        <v>309</v>
      </c>
      <c r="H301" s="90">
        <v>1</v>
      </c>
      <c r="I301" s="91">
        <v>4973.6339388584802</v>
      </c>
      <c r="J301" s="92">
        <f>ROUND(I301*H301,2)</f>
        <v>4973.63</v>
      </c>
      <c r="K301" s="88" t="s">
        <v>82</v>
      </c>
      <c r="L301" s="16"/>
      <c r="M301" s="93" t="s">
        <v>0</v>
      </c>
      <c r="N301" s="94" t="s">
        <v>27</v>
      </c>
      <c r="O301" s="27"/>
      <c r="P301" s="95">
        <f>O301*H301</f>
        <v>0</v>
      </c>
      <c r="Q301" s="95">
        <v>0.1056</v>
      </c>
      <c r="R301" s="95">
        <f>Q301*H301</f>
        <v>0.1056</v>
      </c>
      <c r="S301" s="95">
        <v>0</v>
      </c>
      <c r="T301" s="96">
        <f>S301*H301</f>
        <v>0</v>
      </c>
      <c r="U301" s="156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R301" s="97" t="s">
        <v>83</v>
      </c>
      <c r="AT301" s="97" t="s">
        <v>78</v>
      </c>
      <c r="AU301" s="97" t="s">
        <v>47</v>
      </c>
      <c r="AY301" s="10" t="s">
        <v>75</v>
      </c>
      <c r="BE301" s="98">
        <f>IF(N301="základní",J301,0)</f>
        <v>4973.63</v>
      </c>
      <c r="BF301" s="98">
        <f>IF(N301="snížená",J301,0)</f>
        <v>0</v>
      </c>
      <c r="BG301" s="98">
        <f>IF(N301="zákl. přenesená",J301,0)</f>
        <v>0</v>
      </c>
      <c r="BH301" s="98">
        <f>IF(N301="sníž. přenesená",J301,0)</f>
        <v>0</v>
      </c>
      <c r="BI301" s="98">
        <f>IF(N301="nulová",J301,0)</f>
        <v>0</v>
      </c>
      <c r="BJ301" s="10" t="s">
        <v>46</v>
      </c>
      <c r="BK301" s="98">
        <f>ROUND(I301*H301,2)</f>
        <v>4973.63</v>
      </c>
      <c r="BL301" s="10" t="s">
        <v>83</v>
      </c>
      <c r="BM301" s="97" t="s">
        <v>361</v>
      </c>
    </row>
    <row r="302" spans="1:65" s="1" customFormat="1" ht="29.25" x14ac:dyDescent="0.2">
      <c r="A302" s="156"/>
      <c r="B302" s="16"/>
      <c r="C302" s="156"/>
      <c r="D302" s="99" t="s">
        <v>84</v>
      </c>
      <c r="E302" s="156"/>
      <c r="F302" s="100" t="s">
        <v>362</v>
      </c>
      <c r="G302" s="156"/>
      <c r="H302" s="156"/>
      <c r="I302" s="101"/>
      <c r="J302" s="156"/>
      <c r="K302" s="156"/>
      <c r="L302" s="16"/>
      <c r="M302" s="102"/>
      <c r="N302" s="103"/>
      <c r="O302" s="27"/>
      <c r="P302" s="27"/>
      <c r="Q302" s="27"/>
      <c r="R302" s="27"/>
      <c r="S302" s="27"/>
      <c r="T302" s="28"/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T302" s="10" t="s">
        <v>84</v>
      </c>
      <c r="AU302" s="10" t="s">
        <v>47</v>
      </c>
    </row>
    <row r="303" spans="1:65" s="1" customFormat="1" ht="29.25" x14ac:dyDescent="0.2">
      <c r="A303" s="156"/>
      <c r="B303" s="16"/>
      <c r="C303" s="156"/>
      <c r="D303" s="99" t="s">
        <v>86</v>
      </c>
      <c r="E303" s="156"/>
      <c r="F303" s="104" t="s">
        <v>217</v>
      </c>
      <c r="G303" s="156"/>
      <c r="H303" s="156"/>
      <c r="I303" s="101"/>
      <c r="J303" s="156"/>
      <c r="K303" s="156"/>
      <c r="L303" s="16"/>
      <c r="M303" s="102"/>
      <c r="N303" s="103"/>
      <c r="O303" s="27"/>
      <c r="P303" s="27"/>
      <c r="Q303" s="27"/>
      <c r="R303" s="27"/>
      <c r="S303" s="27"/>
      <c r="T303" s="28"/>
      <c r="U303" s="156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T303" s="10" t="s">
        <v>86</v>
      </c>
      <c r="AU303" s="10" t="s">
        <v>47</v>
      </c>
    </row>
    <row r="304" spans="1:65" s="7" customFormat="1" x14ac:dyDescent="0.2">
      <c r="B304" s="112"/>
      <c r="D304" s="99" t="s">
        <v>87</v>
      </c>
      <c r="E304" s="113" t="s">
        <v>0</v>
      </c>
      <c r="F304" s="114" t="s">
        <v>108</v>
      </c>
      <c r="H304" s="115">
        <v>1</v>
      </c>
      <c r="I304" s="116"/>
      <c r="L304" s="112"/>
      <c r="M304" s="117"/>
      <c r="N304" s="118"/>
      <c r="O304" s="118"/>
      <c r="P304" s="118"/>
      <c r="Q304" s="118"/>
      <c r="R304" s="118"/>
      <c r="S304" s="118"/>
      <c r="T304" s="119"/>
      <c r="AT304" s="113" t="s">
        <v>87</v>
      </c>
      <c r="AU304" s="113" t="s">
        <v>47</v>
      </c>
      <c r="AV304" s="7" t="s">
        <v>47</v>
      </c>
      <c r="AW304" s="7" t="s">
        <v>19</v>
      </c>
      <c r="AX304" s="7" t="s">
        <v>46</v>
      </c>
      <c r="AY304" s="113" t="s">
        <v>75</v>
      </c>
    </row>
    <row r="305" spans="1:65" s="1" customFormat="1" ht="24.2" customHeight="1" x14ac:dyDescent="0.2">
      <c r="A305" s="156"/>
      <c r="B305" s="85"/>
      <c r="C305" s="86" t="s">
        <v>363</v>
      </c>
      <c r="D305" s="86" t="s">
        <v>78</v>
      </c>
      <c r="E305" s="87" t="s">
        <v>364</v>
      </c>
      <c r="F305" s="88" t="s">
        <v>365</v>
      </c>
      <c r="G305" s="89" t="s">
        <v>309</v>
      </c>
      <c r="H305" s="90">
        <v>1</v>
      </c>
      <c r="I305" s="91">
        <v>3593.8097854433977</v>
      </c>
      <c r="J305" s="92">
        <f>ROUND(I305*H305,2)</f>
        <v>3593.81</v>
      </c>
      <c r="K305" s="88" t="s">
        <v>82</v>
      </c>
      <c r="L305" s="16"/>
      <c r="M305" s="93" t="s">
        <v>0</v>
      </c>
      <c r="N305" s="94" t="s">
        <v>27</v>
      </c>
      <c r="O305" s="27"/>
      <c r="P305" s="95">
        <f>O305*H305</f>
        <v>0</v>
      </c>
      <c r="Q305" s="95">
        <v>2.4240000000000001E-2</v>
      </c>
      <c r="R305" s="95">
        <f>Q305*H305</f>
        <v>2.4240000000000001E-2</v>
      </c>
      <c r="S305" s="95">
        <v>0</v>
      </c>
      <c r="T305" s="96">
        <f>S305*H305</f>
        <v>0</v>
      </c>
      <c r="U305" s="156"/>
      <c r="V305" s="156"/>
      <c r="W305" s="156"/>
      <c r="X305" s="156"/>
      <c r="Y305" s="156"/>
      <c r="Z305" s="156"/>
      <c r="AA305" s="156"/>
      <c r="AB305" s="156"/>
      <c r="AC305" s="156"/>
      <c r="AD305" s="156"/>
      <c r="AE305" s="156"/>
      <c r="AR305" s="97" t="s">
        <v>83</v>
      </c>
      <c r="AT305" s="97" t="s">
        <v>78</v>
      </c>
      <c r="AU305" s="97" t="s">
        <v>47</v>
      </c>
      <c r="AY305" s="10" t="s">
        <v>75</v>
      </c>
      <c r="BE305" s="98">
        <f>IF(N305="základní",J305,0)</f>
        <v>3593.81</v>
      </c>
      <c r="BF305" s="98">
        <f>IF(N305="snížená",J305,0)</f>
        <v>0</v>
      </c>
      <c r="BG305" s="98">
        <f>IF(N305="zákl. přenesená",J305,0)</f>
        <v>0</v>
      </c>
      <c r="BH305" s="98">
        <f>IF(N305="sníž. přenesená",J305,0)</f>
        <v>0</v>
      </c>
      <c r="BI305" s="98">
        <f>IF(N305="nulová",J305,0)</f>
        <v>0</v>
      </c>
      <c r="BJ305" s="10" t="s">
        <v>46</v>
      </c>
      <c r="BK305" s="98">
        <f>ROUND(I305*H305,2)</f>
        <v>3593.81</v>
      </c>
      <c r="BL305" s="10" t="s">
        <v>83</v>
      </c>
      <c r="BM305" s="97" t="s">
        <v>366</v>
      </c>
    </row>
    <row r="306" spans="1:65" s="1" customFormat="1" ht="19.5" x14ac:dyDescent="0.2">
      <c r="A306" s="156"/>
      <c r="B306" s="16"/>
      <c r="C306" s="156"/>
      <c r="D306" s="99" t="s">
        <v>84</v>
      </c>
      <c r="E306" s="156"/>
      <c r="F306" s="100" t="s">
        <v>367</v>
      </c>
      <c r="G306" s="156"/>
      <c r="H306" s="156"/>
      <c r="I306" s="101"/>
      <c r="J306" s="156"/>
      <c r="K306" s="156"/>
      <c r="L306" s="16"/>
      <c r="M306" s="102"/>
      <c r="N306" s="103"/>
      <c r="O306" s="27"/>
      <c r="P306" s="27"/>
      <c r="Q306" s="27"/>
      <c r="R306" s="27"/>
      <c r="S306" s="27"/>
      <c r="T306" s="28"/>
      <c r="U306" s="156"/>
      <c r="V306" s="156"/>
      <c r="W306" s="156"/>
      <c r="X306" s="156"/>
      <c r="Y306" s="156"/>
      <c r="Z306" s="156"/>
      <c r="AA306" s="156"/>
      <c r="AB306" s="156"/>
      <c r="AC306" s="156"/>
      <c r="AD306" s="156"/>
      <c r="AE306" s="156"/>
      <c r="AT306" s="10" t="s">
        <v>84</v>
      </c>
      <c r="AU306" s="10" t="s">
        <v>47</v>
      </c>
    </row>
    <row r="307" spans="1:65" s="1" customFormat="1" ht="24.2" customHeight="1" x14ac:dyDescent="0.2">
      <c r="A307" s="156"/>
      <c r="B307" s="85"/>
      <c r="C307" s="86" t="s">
        <v>368</v>
      </c>
      <c r="D307" s="86" t="s">
        <v>78</v>
      </c>
      <c r="E307" s="87" t="s">
        <v>369</v>
      </c>
      <c r="F307" s="88" t="s">
        <v>370</v>
      </c>
      <c r="G307" s="89" t="s">
        <v>309</v>
      </c>
      <c r="H307" s="90">
        <v>1</v>
      </c>
      <c r="I307" s="91">
        <v>1078.0568828114554</v>
      </c>
      <c r="J307" s="92">
        <f>ROUND(I307*H307,2)</f>
        <v>1078.06</v>
      </c>
      <c r="K307" s="88" t="s">
        <v>82</v>
      </c>
      <c r="L307" s="16"/>
      <c r="M307" s="93" t="s">
        <v>0</v>
      </c>
      <c r="N307" s="94" t="s">
        <v>27</v>
      </c>
      <c r="O307" s="27"/>
      <c r="P307" s="95">
        <f>O307*H307</f>
        <v>0</v>
      </c>
      <c r="Q307" s="95">
        <v>0</v>
      </c>
      <c r="R307" s="95">
        <f>Q307*H307</f>
        <v>0</v>
      </c>
      <c r="S307" s="95">
        <v>0</v>
      </c>
      <c r="T307" s="96">
        <f>S307*H307</f>
        <v>0</v>
      </c>
      <c r="U307" s="156"/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/>
      <c r="AR307" s="97" t="s">
        <v>83</v>
      </c>
      <c r="AT307" s="97" t="s">
        <v>78</v>
      </c>
      <c r="AU307" s="97" t="s">
        <v>47</v>
      </c>
      <c r="AY307" s="10" t="s">
        <v>75</v>
      </c>
      <c r="BE307" s="98">
        <f>IF(N307="základní",J307,0)</f>
        <v>1078.06</v>
      </c>
      <c r="BF307" s="98">
        <f>IF(N307="snížená",J307,0)</f>
        <v>0</v>
      </c>
      <c r="BG307" s="98">
        <f>IF(N307="zákl. přenesená",J307,0)</f>
        <v>0</v>
      </c>
      <c r="BH307" s="98">
        <f>IF(N307="sníž. přenesená",J307,0)</f>
        <v>0</v>
      </c>
      <c r="BI307" s="98">
        <f>IF(N307="nulová",J307,0)</f>
        <v>0</v>
      </c>
      <c r="BJ307" s="10" t="s">
        <v>46</v>
      </c>
      <c r="BK307" s="98">
        <f>ROUND(I307*H307,2)</f>
        <v>1078.06</v>
      </c>
      <c r="BL307" s="10" t="s">
        <v>83</v>
      </c>
      <c r="BM307" s="97" t="s">
        <v>371</v>
      </c>
    </row>
    <row r="308" spans="1:65" s="1" customFormat="1" ht="19.5" x14ac:dyDescent="0.2">
      <c r="A308" s="156"/>
      <c r="B308" s="16"/>
      <c r="C308" s="156"/>
      <c r="D308" s="99" t="s">
        <v>84</v>
      </c>
      <c r="E308" s="156"/>
      <c r="F308" s="100" t="s">
        <v>372</v>
      </c>
      <c r="G308" s="156"/>
      <c r="H308" s="156"/>
      <c r="I308" s="101"/>
      <c r="J308" s="156"/>
      <c r="K308" s="156"/>
      <c r="L308" s="16"/>
      <c r="M308" s="102"/>
      <c r="N308" s="103"/>
      <c r="O308" s="27"/>
      <c r="P308" s="27"/>
      <c r="Q308" s="27"/>
      <c r="R308" s="27"/>
      <c r="S308" s="27"/>
      <c r="T308" s="28"/>
      <c r="U308" s="156"/>
      <c r="V308" s="156"/>
      <c r="W308" s="156"/>
      <c r="X308" s="156"/>
      <c r="Y308" s="156"/>
      <c r="Z308" s="156"/>
      <c r="AA308" s="156"/>
      <c r="AB308" s="156"/>
      <c r="AC308" s="156"/>
      <c r="AD308" s="156"/>
      <c r="AE308" s="156"/>
      <c r="AT308" s="10" t="s">
        <v>84</v>
      </c>
      <c r="AU308" s="10" t="s">
        <v>47</v>
      </c>
    </row>
    <row r="309" spans="1:65" s="1" customFormat="1" ht="24.2" customHeight="1" x14ac:dyDescent="0.2">
      <c r="A309" s="156"/>
      <c r="B309" s="85"/>
      <c r="C309" s="86" t="s">
        <v>373</v>
      </c>
      <c r="D309" s="86" t="s">
        <v>78</v>
      </c>
      <c r="E309" s="87" t="s">
        <v>374</v>
      </c>
      <c r="F309" s="88" t="s">
        <v>375</v>
      </c>
      <c r="G309" s="89" t="s">
        <v>309</v>
      </c>
      <c r="H309" s="90">
        <v>1</v>
      </c>
      <c r="I309" s="91">
        <v>8864.0454366400263</v>
      </c>
      <c r="J309" s="92">
        <f>ROUND(I309*H309,2)</f>
        <v>8864.0499999999993</v>
      </c>
      <c r="K309" s="88" t="s">
        <v>82</v>
      </c>
      <c r="L309" s="16"/>
      <c r="M309" s="93" t="s">
        <v>0</v>
      </c>
      <c r="N309" s="94" t="s">
        <v>27</v>
      </c>
      <c r="O309" s="27"/>
      <c r="P309" s="95">
        <f>O309*H309</f>
        <v>0</v>
      </c>
      <c r="Q309" s="95">
        <v>0.21007999999999999</v>
      </c>
      <c r="R309" s="95">
        <f>Q309*H309</f>
        <v>0.21007999999999999</v>
      </c>
      <c r="S309" s="95">
        <v>0</v>
      </c>
      <c r="T309" s="96">
        <f>S309*H309</f>
        <v>0</v>
      </c>
      <c r="U309" s="156"/>
      <c r="V309" s="156"/>
      <c r="W309" s="156"/>
      <c r="X309" s="156"/>
      <c r="Y309" s="156"/>
      <c r="Z309" s="156"/>
      <c r="AA309" s="156"/>
      <c r="AB309" s="156"/>
      <c r="AC309" s="156"/>
      <c r="AD309" s="156"/>
      <c r="AE309" s="156"/>
      <c r="AR309" s="97" t="s">
        <v>83</v>
      </c>
      <c r="AT309" s="97" t="s">
        <v>78</v>
      </c>
      <c r="AU309" s="97" t="s">
        <v>47</v>
      </c>
      <c r="AY309" s="10" t="s">
        <v>75</v>
      </c>
      <c r="BE309" s="98">
        <f>IF(N309="základní",J309,0)</f>
        <v>8864.0499999999993</v>
      </c>
      <c r="BF309" s="98">
        <f>IF(N309="snížená",J309,0)</f>
        <v>0</v>
      </c>
      <c r="BG309" s="98">
        <f>IF(N309="zákl. přenesená",J309,0)</f>
        <v>0</v>
      </c>
      <c r="BH309" s="98">
        <f>IF(N309="sníž. přenesená",J309,0)</f>
        <v>0</v>
      </c>
      <c r="BI309" s="98">
        <f>IF(N309="nulová",J309,0)</f>
        <v>0</v>
      </c>
      <c r="BJ309" s="10" t="s">
        <v>46</v>
      </c>
      <c r="BK309" s="98">
        <f>ROUND(I309*H309,2)</f>
        <v>8864.0499999999993</v>
      </c>
      <c r="BL309" s="10" t="s">
        <v>83</v>
      </c>
      <c r="BM309" s="97" t="s">
        <v>376</v>
      </c>
    </row>
    <row r="310" spans="1:65" s="1" customFormat="1" ht="29.25" x14ac:dyDescent="0.2">
      <c r="A310" s="156"/>
      <c r="B310" s="16"/>
      <c r="C310" s="156"/>
      <c r="D310" s="99" t="s">
        <v>84</v>
      </c>
      <c r="E310" s="156"/>
      <c r="F310" s="100" t="s">
        <v>377</v>
      </c>
      <c r="G310" s="156"/>
      <c r="H310" s="156"/>
      <c r="I310" s="101"/>
      <c r="J310" s="156"/>
      <c r="K310" s="156"/>
      <c r="L310" s="16"/>
      <c r="M310" s="102"/>
      <c r="N310" s="103"/>
      <c r="O310" s="27"/>
      <c r="P310" s="27"/>
      <c r="Q310" s="27"/>
      <c r="R310" s="27"/>
      <c r="S310" s="27"/>
      <c r="T310" s="28"/>
      <c r="U310" s="156"/>
      <c r="V310" s="156"/>
      <c r="W310" s="156"/>
      <c r="X310" s="156"/>
      <c r="Y310" s="156"/>
      <c r="Z310" s="156"/>
      <c r="AA310" s="156"/>
      <c r="AB310" s="156"/>
      <c r="AC310" s="156"/>
      <c r="AD310" s="156"/>
      <c r="AE310" s="156"/>
      <c r="AT310" s="10" t="s">
        <v>84</v>
      </c>
      <c r="AU310" s="10" t="s">
        <v>47</v>
      </c>
    </row>
    <row r="311" spans="1:65" s="5" customFormat="1" ht="22.9" customHeight="1" x14ac:dyDescent="0.2">
      <c r="B311" s="72"/>
      <c r="D311" s="73" t="s">
        <v>44</v>
      </c>
      <c r="E311" s="83" t="s">
        <v>233</v>
      </c>
      <c r="F311" s="83" t="s">
        <v>378</v>
      </c>
      <c r="I311" s="75"/>
      <c r="J311" s="84">
        <f>BK311</f>
        <v>5872.73</v>
      </c>
      <c r="L311" s="72"/>
      <c r="M311" s="77"/>
      <c r="N311" s="78"/>
      <c r="O311" s="78"/>
      <c r="P311" s="79">
        <f>SUM(P312:P319)</f>
        <v>0</v>
      </c>
      <c r="Q311" s="78"/>
      <c r="R311" s="79">
        <f>SUM(R312:R319)</f>
        <v>0</v>
      </c>
      <c r="S311" s="78"/>
      <c r="T311" s="80">
        <f>SUM(T312:T319)</f>
        <v>0</v>
      </c>
      <c r="AR311" s="73" t="s">
        <v>46</v>
      </c>
      <c r="AT311" s="81" t="s">
        <v>44</v>
      </c>
      <c r="AU311" s="81" t="s">
        <v>46</v>
      </c>
      <c r="AY311" s="73" t="s">
        <v>75</v>
      </c>
      <c r="BK311" s="82">
        <f>SUM(BK312:BK319)</f>
        <v>5872.73</v>
      </c>
    </row>
    <row r="312" spans="1:65" s="1" customFormat="1" ht="37.9" customHeight="1" x14ac:dyDescent="0.2">
      <c r="A312" s="156"/>
      <c r="B312" s="85"/>
      <c r="C312" s="86" t="s">
        <v>379</v>
      </c>
      <c r="D312" s="86" t="s">
        <v>78</v>
      </c>
      <c r="E312" s="87" t="s">
        <v>380</v>
      </c>
      <c r="F312" s="88" t="s">
        <v>381</v>
      </c>
      <c r="G312" s="89" t="s">
        <v>382</v>
      </c>
      <c r="H312" s="90">
        <v>1</v>
      </c>
      <c r="I312" s="91">
        <v>3220.5333799999999</v>
      </c>
      <c r="J312" s="92">
        <f>ROUND(I312*H312,2)</f>
        <v>3220.53</v>
      </c>
      <c r="K312" s="88" t="s">
        <v>0</v>
      </c>
      <c r="L312" s="16"/>
      <c r="M312" s="93" t="s">
        <v>0</v>
      </c>
      <c r="N312" s="94" t="s">
        <v>27</v>
      </c>
      <c r="O312" s="27"/>
      <c r="P312" s="95">
        <f>O312*H312</f>
        <v>0</v>
      </c>
      <c r="Q312" s="95">
        <v>0</v>
      </c>
      <c r="R312" s="95">
        <f>Q312*H312</f>
        <v>0</v>
      </c>
      <c r="S312" s="95">
        <v>0</v>
      </c>
      <c r="T312" s="96">
        <f>S312*H312</f>
        <v>0</v>
      </c>
      <c r="U312" s="156"/>
      <c r="V312" s="156"/>
      <c r="W312" s="156"/>
      <c r="X312" s="156"/>
      <c r="Y312" s="156"/>
      <c r="Z312" s="156"/>
      <c r="AA312" s="156"/>
      <c r="AB312" s="156"/>
      <c r="AC312" s="156"/>
      <c r="AD312" s="156"/>
      <c r="AE312" s="156"/>
      <c r="AR312" s="97" t="s">
        <v>83</v>
      </c>
      <c r="AT312" s="97" t="s">
        <v>78</v>
      </c>
      <c r="AU312" s="97" t="s">
        <v>47</v>
      </c>
      <c r="AY312" s="10" t="s">
        <v>75</v>
      </c>
      <c r="BE312" s="98">
        <f>IF(N312="základní",J312,0)</f>
        <v>3220.53</v>
      </c>
      <c r="BF312" s="98">
        <f>IF(N312="snížená",J312,0)</f>
        <v>0</v>
      </c>
      <c r="BG312" s="98">
        <f>IF(N312="zákl. přenesená",J312,0)</f>
        <v>0</v>
      </c>
      <c r="BH312" s="98">
        <f>IF(N312="sníž. přenesená",J312,0)</f>
        <v>0</v>
      </c>
      <c r="BI312" s="98">
        <f>IF(N312="nulová",J312,0)</f>
        <v>0</v>
      </c>
      <c r="BJ312" s="10" t="s">
        <v>46</v>
      </c>
      <c r="BK312" s="98">
        <f>ROUND(I312*H312,2)</f>
        <v>3220.53</v>
      </c>
      <c r="BL312" s="10" t="s">
        <v>83</v>
      </c>
      <c r="BM312" s="97" t="s">
        <v>383</v>
      </c>
    </row>
    <row r="313" spans="1:65" s="1" customFormat="1" ht="29.25" x14ac:dyDescent="0.2">
      <c r="A313" s="156"/>
      <c r="B313" s="16"/>
      <c r="C313" s="156"/>
      <c r="D313" s="99" t="s">
        <v>84</v>
      </c>
      <c r="E313" s="156"/>
      <c r="F313" s="100" t="s">
        <v>381</v>
      </c>
      <c r="G313" s="156"/>
      <c r="H313" s="156"/>
      <c r="I313" s="101"/>
      <c r="J313" s="156"/>
      <c r="K313" s="156"/>
      <c r="L313" s="16"/>
      <c r="M313" s="102"/>
      <c r="N313" s="103"/>
      <c r="O313" s="27"/>
      <c r="P313" s="27"/>
      <c r="Q313" s="27"/>
      <c r="R313" s="27"/>
      <c r="S313" s="27"/>
      <c r="T313" s="28"/>
      <c r="U313" s="156"/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/>
      <c r="AT313" s="10" t="s">
        <v>84</v>
      </c>
      <c r="AU313" s="10" t="s">
        <v>47</v>
      </c>
    </row>
    <row r="314" spans="1:65" s="1" customFormat="1" ht="29.25" x14ac:dyDescent="0.2">
      <c r="A314" s="156"/>
      <c r="B314" s="16"/>
      <c r="C314" s="156"/>
      <c r="D314" s="99" t="s">
        <v>86</v>
      </c>
      <c r="E314" s="156"/>
      <c r="F314" s="104" t="s">
        <v>384</v>
      </c>
      <c r="G314" s="156"/>
      <c r="H314" s="156"/>
      <c r="I314" s="101"/>
      <c r="J314" s="156"/>
      <c r="K314" s="156"/>
      <c r="L314" s="16"/>
      <c r="M314" s="102"/>
      <c r="N314" s="103"/>
      <c r="O314" s="27"/>
      <c r="P314" s="27"/>
      <c r="Q314" s="27"/>
      <c r="R314" s="27"/>
      <c r="S314" s="27"/>
      <c r="T314" s="28"/>
      <c r="U314" s="156"/>
      <c r="V314" s="156"/>
      <c r="W314" s="156"/>
      <c r="X314" s="156"/>
      <c r="Y314" s="156"/>
      <c r="Z314" s="156"/>
      <c r="AA314" s="156"/>
      <c r="AB314" s="156"/>
      <c r="AC314" s="156"/>
      <c r="AD314" s="156"/>
      <c r="AE314" s="156"/>
      <c r="AT314" s="10" t="s">
        <v>86</v>
      </c>
      <c r="AU314" s="10" t="s">
        <v>47</v>
      </c>
    </row>
    <row r="315" spans="1:65" s="7" customFormat="1" x14ac:dyDescent="0.2">
      <c r="B315" s="112"/>
      <c r="D315" s="99" t="s">
        <v>87</v>
      </c>
      <c r="E315" s="113" t="s">
        <v>0</v>
      </c>
      <c r="F315" s="114" t="s">
        <v>89</v>
      </c>
      <c r="H315" s="115">
        <v>13</v>
      </c>
      <c r="I315" s="116"/>
      <c r="L315" s="112"/>
      <c r="M315" s="117"/>
      <c r="N315" s="118"/>
      <c r="O315" s="118"/>
      <c r="P315" s="118"/>
      <c r="Q315" s="118"/>
      <c r="R315" s="118"/>
      <c r="S315" s="118"/>
      <c r="T315" s="119"/>
      <c r="AT315" s="113" t="s">
        <v>87</v>
      </c>
      <c r="AU315" s="113" t="s">
        <v>47</v>
      </c>
      <c r="AV315" s="7" t="s">
        <v>47</v>
      </c>
      <c r="AW315" s="7" t="s">
        <v>19</v>
      </c>
      <c r="AX315" s="7" t="s">
        <v>46</v>
      </c>
      <c r="AY315" s="113" t="s">
        <v>75</v>
      </c>
    </row>
    <row r="316" spans="1:65" s="1" customFormat="1" ht="37.9" customHeight="1" x14ac:dyDescent="0.2">
      <c r="A316" s="156"/>
      <c r="B316" s="85"/>
      <c r="C316" s="86" t="s">
        <v>385</v>
      </c>
      <c r="D316" s="86" t="s">
        <v>78</v>
      </c>
      <c r="E316" s="87" t="s">
        <v>386</v>
      </c>
      <c r="F316" s="88" t="s">
        <v>387</v>
      </c>
      <c r="G316" s="89" t="s">
        <v>382</v>
      </c>
      <c r="H316" s="90">
        <v>1</v>
      </c>
      <c r="I316" s="91">
        <v>2652.2039599999998</v>
      </c>
      <c r="J316" s="92">
        <f>ROUND(I316*H316,2)</f>
        <v>2652.2</v>
      </c>
      <c r="K316" s="88" t="s">
        <v>0</v>
      </c>
      <c r="L316" s="16"/>
      <c r="M316" s="93" t="s">
        <v>0</v>
      </c>
      <c r="N316" s="94" t="s">
        <v>27</v>
      </c>
      <c r="O316" s="27"/>
      <c r="P316" s="95">
        <f>O316*H316</f>
        <v>0</v>
      </c>
      <c r="Q316" s="95">
        <v>0</v>
      </c>
      <c r="R316" s="95">
        <f>Q316*H316</f>
        <v>0</v>
      </c>
      <c r="S316" s="95">
        <v>0</v>
      </c>
      <c r="T316" s="96">
        <f>S316*H316</f>
        <v>0</v>
      </c>
      <c r="U316" s="156"/>
      <c r="V316" s="156"/>
      <c r="W316" s="156"/>
      <c r="X316" s="156"/>
      <c r="Y316" s="156"/>
      <c r="Z316" s="156"/>
      <c r="AA316" s="156"/>
      <c r="AB316" s="156"/>
      <c r="AC316" s="156"/>
      <c r="AD316" s="156"/>
      <c r="AE316" s="156"/>
      <c r="AR316" s="97" t="s">
        <v>83</v>
      </c>
      <c r="AT316" s="97" t="s">
        <v>78</v>
      </c>
      <c r="AU316" s="97" t="s">
        <v>47</v>
      </c>
      <c r="AY316" s="10" t="s">
        <v>75</v>
      </c>
      <c r="BE316" s="98">
        <f>IF(N316="základní",J316,0)</f>
        <v>2652.2</v>
      </c>
      <c r="BF316" s="98">
        <f>IF(N316="snížená",J316,0)</f>
        <v>0</v>
      </c>
      <c r="BG316" s="98">
        <f>IF(N316="zákl. přenesená",J316,0)</f>
        <v>0</v>
      </c>
      <c r="BH316" s="98">
        <f>IF(N316="sníž. přenesená",J316,0)</f>
        <v>0</v>
      </c>
      <c r="BI316" s="98">
        <f>IF(N316="nulová",J316,0)</f>
        <v>0</v>
      </c>
      <c r="BJ316" s="10" t="s">
        <v>46</v>
      </c>
      <c r="BK316" s="98">
        <f>ROUND(I316*H316,2)</f>
        <v>2652.2</v>
      </c>
      <c r="BL316" s="10" t="s">
        <v>83</v>
      </c>
      <c r="BM316" s="97" t="s">
        <v>388</v>
      </c>
    </row>
    <row r="317" spans="1:65" s="1" customFormat="1" ht="29.25" x14ac:dyDescent="0.2">
      <c r="A317" s="156"/>
      <c r="B317" s="16"/>
      <c r="C317" s="156"/>
      <c r="D317" s="99" t="s">
        <v>84</v>
      </c>
      <c r="E317" s="156"/>
      <c r="F317" s="100" t="s">
        <v>387</v>
      </c>
      <c r="G317" s="156"/>
      <c r="H317" s="156"/>
      <c r="I317" s="101"/>
      <c r="J317" s="156"/>
      <c r="K317" s="156"/>
      <c r="L317" s="16"/>
      <c r="M317" s="102"/>
      <c r="N317" s="103"/>
      <c r="O317" s="27"/>
      <c r="P317" s="27"/>
      <c r="Q317" s="27"/>
      <c r="R317" s="27"/>
      <c r="S317" s="27"/>
      <c r="T317" s="28"/>
      <c r="U317" s="156"/>
      <c r="V317" s="156"/>
      <c r="W317" s="156"/>
      <c r="X317" s="156"/>
      <c r="Y317" s="156"/>
      <c r="Z317" s="156"/>
      <c r="AA317" s="156"/>
      <c r="AB317" s="156"/>
      <c r="AC317" s="156"/>
      <c r="AD317" s="156"/>
      <c r="AE317" s="156"/>
      <c r="AT317" s="10" t="s">
        <v>84</v>
      </c>
      <c r="AU317" s="10" t="s">
        <v>47</v>
      </c>
    </row>
    <row r="318" spans="1:65" s="1" customFormat="1" ht="29.25" x14ac:dyDescent="0.2">
      <c r="A318" s="156"/>
      <c r="B318" s="16"/>
      <c r="C318" s="156"/>
      <c r="D318" s="99" t="s">
        <v>86</v>
      </c>
      <c r="E318" s="156"/>
      <c r="F318" s="104" t="s">
        <v>384</v>
      </c>
      <c r="G318" s="156"/>
      <c r="H318" s="156"/>
      <c r="I318" s="101"/>
      <c r="J318" s="156"/>
      <c r="K318" s="156"/>
      <c r="L318" s="16"/>
      <c r="M318" s="102"/>
      <c r="N318" s="103"/>
      <c r="O318" s="27"/>
      <c r="P318" s="27"/>
      <c r="Q318" s="27"/>
      <c r="R318" s="27"/>
      <c r="S318" s="27"/>
      <c r="T318" s="28"/>
      <c r="U318" s="156"/>
      <c r="V318" s="156"/>
      <c r="W318" s="156"/>
      <c r="X318" s="156"/>
      <c r="Y318" s="156"/>
      <c r="Z318" s="156"/>
      <c r="AA318" s="156"/>
      <c r="AB318" s="156"/>
      <c r="AC318" s="156"/>
      <c r="AD318" s="156"/>
      <c r="AE318" s="156"/>
      <c r="AT318" s="10" t="s">
        <v>86</v>
      </c>
      <c r="AU318" s="10" t="s">
        <v>47</v>
      </c>
    </row>
    <row r="319" spans="1:65" s="7" customFormat="1" x14ac:dyDescent="0.2">
      <c r="B319" s="112"/>
      <c r="D319" s="99" t="s">
        <v>87</v>
      </c>
      <c r="E319" s="113" t="s">
        <v>0</v>
      </c>
      <c r="F319" s="114" t="s">
        <v>230</v>
      </c>
      <c r="H319" s="115">
        <v>7</v>
      </c>
      <c r="I319" s="116"/>
      <c r="L319" s="112"/>
      <c r="M319" s="117"/>
      <c r="N319" s="118"/>
      <c r="O319" s="118"/>
      <c r="P319" s="118"/>
      <c r="Q319" s="118"/>
      <c r="R319" s="118"/>
      <c r="S319" s="118"/>
      <c r="T319" s="119"/>
      <c r="AT319" s="113" t="s">
        <v>87</v>
      </c>
      <c r="AU319" s="113" t="s">
        <v>47</v>
      </c>
      <c r="AV319" s="7" t="s">
        <v>47</v>
      </c>
      <c r="AW319" s="7" t="s">
        <v>19</v>
      </c>
      <c r="AX319" s="7" t="s">
        <v>46</v>
      </c>
      <c r="AY319" s="113" t="s">
        <v>75</v>
      </c>
    </row>
    <row r="320" spans="1:65" s="5" customFormat="1" ht="22.9" customHeight="1" x14ac:dyDescent="0.2">
      <c r="B320" s="72"/>
      <c r="D320" s="73" t="s">
        <v>44</v>
      </c>
      <c r="E320" s="83" t="s">
        <v>390</v>
      </c>
      <c r="F320" s="83" t="s">
        <v>391</v>
      </c>
      <c r="I320" s="75"/>
      <c r="J320" s="84">
        <f>BK320</f>
        <v>4849.2899999999991</v>
      </c>
      <c r="L320" s="72"/>
      <c r="M320" s="77"/>
      <c r="N320" s="78"/>
      <c r="O320" s="78"/>
      <c r="P320" s="79">
        <f>SUM(P321:P336)</f>
        <v>0</v>
      </c>
      <c r="Q320" s="78"/>
      <c r="R320" s="79">
        <f>SUM(R321:R336)</f>
        <v>0</v>
      </c>
      <c r="S320" s="78"/>
      <c r="T320" s="80">
        <f>SUM(T321:T336)</f>
        <v>0</v>
      </c>
      <c r="AR320" s="73" t="s">
        <v>46</v>
      </c>
      <c r="AT320" s="81" t="s">
        <v>44</v>
      </c>
      <c r="AU320" s="81" t="s">
        <v>46</v>
      </c>
      <c r="AY320" s="73" t="s">
        <v>75</v>
      </c>
      <c r="BK320" s="82">
        <f>SUM(BK321:BK336)</f>
        <v>4849.2899999999991</v>
      </c>
    </row>
    <row r="321" spans="1:65" s="1" customFormat="1" ht="14.45" customHeight="1" x14ac:dyDescent="0.2">
      <c r="A321" s="156"/>
      <c r="B321" s="85"/>
      <c r="C321" s="86" t="s">
        <v>392</v>
      </c>
      <c r="D321" s="86" t="s">
        <v>78</v>
      </c>
      <c r="E321" s="87" t="s">
        <v>181</v>
      </c>
      <c r="F321" s="88" t="s">
        <v>182</v>
      </c>
      <c r="G321" s="89" t="s">
        <v>119</v>
      </c>
      <c r="H321" s="90">
        <v>13.063000000000001</v>
      </c>
      <c r="I321" s="91">
        <v>40.477390926043419</v>
      </c>
      <c r="J321" s="92">
        <f>ROUND(I321*H321,2)</f>
        <v>528.76</v>
      </c>
      <c r="K321" s="88" t="s">
        <v>82</v>
      </c>
      <c r="L321" s="16"/>
      <c r="M321" s="93" t="s">
        <v>0</v>
      </c>
      <c r="N321" s="94" t="s">
        <v>27</v>
      </c>
      <c r="O321" s="27"/>
      <c r="P321" s="95">
        <f>O321*H321</f>
        <v>0</v>
      </c>
      <c r="Q321" s="95">
        <v>0</v>
      </c>
      <c r="R321" s="95">
        <f>Q321*H321</f>
        <v>0</v>
      </c>
      <c r="S321" s="95">
        <v>0</v>
      </c>
      <c r="T321" s="96">
        <f>S321*H321</f>
        <v>0</v>
      </c>
      <c r="U321" s="156"/>
      <c r="V321" s="156"/>
      <c r="W321" s="156"/>
      <c r="X321" s="156"/>
      <c r="Y321" s="156"/>
      <c r="Z321" s="156"/>
      <c r="AA321" s="156"/>
      <c r="AB321" s="156"/>
      <c r="AC321" s="156"/>
      <c r="AD321" s="156"/>
      <c r="AE321" s="156"/>
      <c r="AR321" s="97" t="s">
        <v>83</v>
      </c>
      <c r="AT321" s="97" t="s">
        <v>78</v>
      </c>
      <c r="AU321" s="97" t="s">
        <v>47</v>
      </c>
      <c r="AY321" s="10" t="s">
        <v>75</v>
      </c>
      <c r="BE321" s="98">
        <f>IF(N321="základní",J321,0)</f>
        <v>528.76</v>
      </c>
      <c r="BF321" s="98">
        <f>IF(N321="snížená",J321,0)</f>
        <v>0</v>
      </c>
      <c r="BG321" s="98">
        <f>IF(N321="zákl. přenesená",J321,0)</f>
        <v>0</v>
      </c>
      <c r="BH321" s="98">
        <f>IF(N321="sníž. přenesená",J321,0)</f>
        <v>0</v>
      </c>
      <c r="BI321" s="98">
        <f>IF(N321="nulová",J321,0)</f>
        <v>0</v>
      </c>
      <c r="BJ321" s="10" t="s">
        <v>46</v>
      </c>
      <c r="BK321" s="98">
        <f>ROUND(I321*H321,2)</f>
        <v>528.76</v>
      </c>
      <c r="BL321" s="10" t="s">
        <v>83</v>
      </c>
      <c r="BM321" s="97" t="s">
        <v>393</v>
      </c>
    </row>
    <row r="322" spans="1:65" s="1" customFormat="1" ht="19.5" x14ac:dyDescent="0.2">
      <c r="A322" s="156"/>
      <c r="B322" s="16"/>
      <c r="C322" s="156"/>
      <c r="D322" s="99" t="s">
        <v>84</v>
      </c>
      <c r="E322" s="156"/>
      <c r="F322" s="100" t="s">
        <v>183</v>
      </c>
      <c r="G322" s="156"/>
      <c r="H322" s="156"/>
      <c r="I322" s="101"/>
      <c r="J322" s="156"/>
      <c r="K322" s="156"/>
      <c r="L322" s="16"/>
      <c r="M322" s="102"/>
      <c r="N322" s="103"/>
      <c r="O322" s="27"/>
      <c r="P322" s="27"/>
      <c r="Q322" s="27"/>
      <c r="R322" s="27"/>
      <c r="S322" s="27"/>
      <c r="T322" s="28"/>
      <c r="U322" s="156"/>
      <c r="V322" s="156"/>
      <c r="W322" s="156"/>
      <c r="X322" s="156"/>
      <c r="Y322" s="156"/>
      <c r="Z322" s="156"/>
      <c r="AA322" s="156"/>
      <c r="AB322" s="156"/>
      <c r="AC322" s="156"/>
      <c r="AD322" s="156"/>
      <c r="AE322" s="156"/>
      <c r="AT322" s="10" t="s">
        <v>84</v>
      </c>
      <c r="AU322" s="10" t="s">
        <v>47</v>
      </c>
    </row>
    <row r="323" spans="1:65" s="7" customFormat="1" x14ac:dyDescent="0.2">
      <c r="B323" s="112"/>
      <c r="D323" s="99" t="s">
        <v>87</v>
      </c>
      <c r="E323" s="113" t="s">
        <v>0</v>
      </c>
      <c r="F323" s="114" t="s">
        <v>445</v>
      </c>
      <c r="H323" s="115">
        <f>15.93*0.35*2</f>
        <v>11.151</v>
      </c>
      <c r="I323" s="116"/>
      <c r="L323" s="112"/>
      <c r="M323" s="117"/>
      <c r="N323" s="118"/>
      <c r="O323" s="118"/>
      <c r="P323" s="118"/>
      <c r="Q323" s="118"/>
      <c r="R323" s="118"/>
      <c r="S323" s="118"/>
      <c r="T323" s="119"/>
      <c r="AT323" s="113" t="s">
        <v>87</v>
      </c>
      <c r="AU323" s="113" t="s">
        <v>47</v>
      </c>
      <c r="AV323" s="7" t="s">
        <v>47</v>
      </c>
      <c r="AW323" s="7" t="s">
        <v>19</v>
      </c>
      <c r="AX323" s="7" t="s">
        <v>45</v>
      </c>
      <c r="AY323" s="113" t="s">
        <v>75</v>
      </c>
    </row>
    <row r="324" spans="1:65" s="7" customFormat="1" x14ac:dyDescent="0.2">
      <c r="B324" s="112"/>
      <c r="D324" s="99" t="s">
        <v>87</v>
      </c>
      <c r="E324" s="113" t="s">
        <v>0</v>
      </c>
      <c r="F324" s="114" t="s">
        <v>446</v>
      </c>
      <c r="H324" s="115">
        <f>15.93*0.05*2.4</f>
        <v>1.9116</v>
      </c>
      <c r="I324" s="116"/>
      <c r="L324" s="112"/>
      <c r="M324" s="117"/>
      <c r="N324" s="118"/>
      <c r="O324" s="118"/>
      <c r="P324" s="118"/>
      <c r="Q324" s="118"/>
      <c r="R324" s="118"/>
      <c r="S324" s="118"/>
      <c r="T324" s="119"/>
      <c r="AT324" s="113" t="s">
        <v>87</v>
      </c>
      <c r="AU324" s="113" t="s">
        <v>47</v>
      </c>
      <c r="AV324" s="7" t="s">
        <v>47</v>
      </c>
      <c r="AW324" s="7" t="s">
        <v>19</v>
      </c>
      <c r="AX324" s="7" t="s">
        <v>45</v>
      </c>
      <c r="AY324" s="113" t="s">
        <v>75</v>
      </c>
    </row>
    <row r="325" spans="1:65" s="9" customFormat="1" x14ac:dyDescent="0.2">
      <c r="B325" s="128"/>
      <c r="D325" s="99" t="s">
        <v>87</v>
      </c>
      <c r="E325" s="129" t="s">
        <v>0</v>
      </c>
      <c r="F325" s="130" t="s">
        <v>103</v>
      </c>
      <c r="H325" s="131">
        <f>H323+H324</f>
        <v>13.0626</v>
      </c>
      <c r="I325" s="132"/>
      <c r="L325" s="128"/>
      <c r="M325" s="133"/>
      <c r="N325" s="134"/>
      <c r="O325" s="134"/>
      <c r="P325" s="134"/>
      <c r="Q325" s="134"/>
      <c r="R325" s="134"/>
      <c r="S325" s="134"/>
      <c r="T325" s="135"/>
      <c r="AT325" s="129" t="s">
        <v>87</v>
      </c>
      <c r="AU325" s="129" t="s">
        <v>47</v>
      </c>
      <c r="AV325" s="9" t="s">
        <v>83</v>
      </c>
      <c r="AW325" s="9" t="s">
        <v>19</v>
      </c>
      <c r="AX325" s="9" t="s">
        <v>46</v>
      </c>
      <c r="AY325" s="129" t="s">
        <v>75</v>
      </c>
    </row>
    <row r="326" spans="1:65" s="1" customFormat="1" ht="24.2" customHeight="1" x14ac:dyDescent="0.2">
      <c r="A326" s="156"/>
      <c r="B326" s="85"/>
      <c r="C326" s="86" t="s">
        <v>394</v>
      </c>
      <c r="D326" s="86" t="s">
        <v>78</v>
      </c>
      <c r="E326" s="87" t="s">
        <v>186</v>
      </c>
      <c r="F326" s="88" t="s">
        <v>187</v>
      </c>
      <c r="G326" s="89" t="s">
        <v>119</v>
      </c>
      <c r="H326" s="90">
        <v>182.88200000000001</v>
      </c>
      <c r="I326" s="91">
        <v>3.1192340975392101</v>
      </c>
      <c r="J326" s="92">
        <f>ROUND(I326*H326,2)</f>
        <v>570.45000000000005</v>
      </c>
      <c r="K326" s="88" t="s">
        <v>82</v>
      </c>
      <c r="L326" s="16"/>
      <c r="M326" s="93" t="s">
        <v>0</v>
      </c>
      <c r="N326" s="94" t="s">
        <v>27</v>
      </c>
      <c r="O326" s="27"/>
      <c r="P326" s="95">
        <f>O326*H326</f>
        <v>0</v>
      </c>
      <c r="Q326" s="95">
        <v>0</v>
      </c>
      <c r="R326" s="95">
        <f>Q326*H326</f>
        <v>0</v>
      </c>
      <c r="S326" s="95">
        <v>0</v>
      </c>
      <c r="T326" s="96">
        <f>S326*H326</f>
        <v>0</v>
      </c>
      <c r="U326" s="156"/>
      <c r="V326" s="156"/>
      <c r="W326" s="156"/>
      <c r="X326" s="156"/>
      <c r="Y326" s="156"/>
      <c r="Z326" s="156"/>
      <c r="AA326" s="156"/>
      <c r="AB326" s="156"/>
      <c r="AC326" s="156"/>
      <c r="AD326" s="156"/>
      <c r="AE326" s="156"/>
      <c r="AR326" s="97" t="s">
        <v>83</v>
      </c>
      <c r="AT326" s="97" t="s">
        <v>78</v>
      </c>
      <c r="AU326" s="97" t="s">
        <v>47</v>
      </c>
      <c r="AY326" s="10" t="s">
        <v>75</v>
      </c>
      <c r="BE326" s="98">
        <f>IF(N326="základní",J326,0)</f>
        <v>570.45000000000005</v>
      </c>
      <c r="BF326" s="98">
        <f>IF(N326="snížená",J326,0)</f>
        <v>0</v>
      </c>
      <c r="BG326" s="98">
        <f>IF(N326="zákl. přenesená",J326,0)</f>
        <v>0</v>
      </c>
      <c r="BH326" s="98">
        <f>IF(N326="sníž. přenesená",J326,0)</f>
        <v>0</v>
      </c>
      <c r="BI326" s="98">
        <f>IF(N326="nulová",J326,0)</f>
        <v>0</v>
      </c>
      <c r="BJ326" s="10" t="s">
        <v>46</v>
      </c>
      <c r="BK326" s="98">
        <f>ROUND(I326*H326,2)</f>
        <v>570.45000000000005</v>
      </c>
      <c r="BL326" s="10" t="s">
        <v>83</v>
      </c>
      <c r="BM326" s="97" t="s">
        <v>395</v>
      </c>
    </row>
    <row r="327" spans="1:65" s="1" customFormat="1" ht="29.25" x14ac:dyDescent="0.2">
      <c r="A327" s="156"/>
      <c r="B327" s="16"/>
      <c r="C327" s="156"/>
      <c r="D327" s="99" t="s">
        <v>84</v>
      </c>
      <c r="E327" s="156"/>
      <c r="F327" s="100" t="s">
        <v>188</v>
      </c>
      <c r="G327" s="156"/>
      <c r="H327" s="156"/>
      <c r="I327" s="101"/>
      <c r="J327" s="156"/>
      <c r="K327" s="156"/>
      <c r="L327" s="16"/>
      <c r="M327" s="102"/>
      <c r="N327" s="103"/>
      <c r="O327" s="27"/>
      <c r="P327" s="27"/>
      <c r="Q327" s="27"/>
      <c r="R327" s="27"/>
      <c r="S327" s="27"/>
      <c r="T327" s="28"/>
      <c r="U327" s="156"/>
      <c r="V327" s="156"/>
      <c r="W327" s="156"/>
      <c r="X327" s="156"/>
      <c r="Y327" s="156"/>
      <c r="Z327" s="156"/>
      <c r="AA327" s="156"/>
      <c r="AB327" s="156"/>
      <c r="AC327" s="156"/>
      <c r="AD327" s="156"/>
      <c r="AE327" s="156"/>
      <c r="AT327" s="10" t="s">
        <v>84</v>
      </c>
      <c r="AU327" s="10" t="s">
        <v>47</v>
      </c>
    </row>
    <row r="328" spans="1:65" s="7" customFormat="1" x14ac:dyDescent="0.2">
      <c r="B328" s="112"/>
      <c r="D328" s="99" t="s">
        <v>87</v>
      </c>
      <c r="F328" s="114" t="s">
        <v>442</v>
      </c>
      <c r="H328" s="115">
        <f>13.063*14</f>
        <v>182.88200000000001</v>
      </c>
      <c r="I328" s="116"/>
      <c r="L328" s="112"/>
      <c r="M328" s="117"/>
      <c r="N328" s="118"/>
      <c r="O328" s="118"/>
      <c r="P328" s="118"/>
      <c r="Q328" s="118"/>
      <c r="R328" s="118"/>
      <c r="S328" s="118"/>
      <c r="T328" s="119"/>
      <c r="AT328" s="113" t="s">
        <v>87</v>
      </c>
      <c r="AU328" s="113" t="s">
        <v>47</v>
      </c>
      <c r="AV328" s="7" t="s">
        <v>47</v>
      </c>
      <c r="AW328" s="7" t="s">
        <v>1</v>
      </c>
      <c r="AX328" s="7" t="s">
        <v>46</v>
      </c>
      <c r="AY328" s="113" t="s">
        <v>75</v>
      </c>
    </row>
    <row r="329" spans="1:65" s="1" customFormat="1" ht="24.2" customHeight="1" x14ac:dyDescent="0.2">
      <c r="A329" s="156"/>
      <c r="B329" s="85"/>
      <c r="C329" s="86" t="s">
        <v>396</v>
      </c>
      <c r="D329" s="86" t="s">
        <v>78</v>
      </c>
      <c r="E329" s="87" t="s">
        <v>189</v>
      </c>
      <c r="F329" s="88" t="s">
        <v>190</v>
      </c>
      <c r="G329" s="89" t="s">
        <v>119</v>
      </c>
      <c r="H329" s="90">
        <v>13.063000000000001</v>
      </c>
      <c r="I329" s="91">
        <v>155.98322812074767</v>
      </c>
      <c r="J329" s="92">
        <f>ROUND(I329*H329,2)</f>
        <v>2037.61</v>
      </c>
      <c r="K329" s="88" t="s">
        <v>82</v>
      </c>
      <c r="L329" s="16"/>
      <c r="M329" s="93" t="s">
        <v>0</v>
      </c>
      <c r="N329" s="94" t="s">
        <v>27</v>
      </c>
      <c r="O329" s="27"/>
      <c r="P329" s="95">
        <f>O329*H329</f>
        <v>0</v>
      </c>
      <c r="Q329" s="95">
        <v>0</v>
      </c>
      <c r="R329" s="95">
        <f>Q329*H329</f>
        <v>0</v>
      </c>
      <c r="S329" s="95">
        <v>0</v>
      </c>
      <c r="T329" s="96">
        <f>S329*H329</f>
        <v>0</v>
      </c>
      <c r="U329" s="156"/>
      <c r="V329" s="156"/>
      <c r="W329" s="156"/>
      <c r="X329" s="156"/>
      <c r="Y329" s="156"/>
      <c r="Z329" s="156"/>
      <c r="AA329" s="156"/>
      <c r="AB329" s="156"/>
      <c r="AC329" s="156"/>
      <c r="AD329" s="156"/>
      <c r="AE329" s="156"/>
      <c r="AR329" s="97" t="s">
        <v>83</v>
      </c>
      <c r="AT329" s="97" t="s">
        <v>78</v>
      </c>
      <c r="AU329" s="97" t="s">
        <v>47</v>
      </c>
      <c r="AY329" s="10" t="s">
        <v>75</v>
      </c>
      <c r="BE329" s="98">
        <f>IF(N329="základní",J329,0)</f>
        <v>2037.61</v>
      </c>
      <c r="BF329" s="98">
        <f>IF(N329="snížená",J329,0)</f>
        <v>0</v>
      </c>
      <c r="BG329" s="98">
        <f>IF(N329="zákl. přenesená",J329,0)</f>
        <v>0</v>
      </c>
      <c r="BH329" s="98">
        <f>IF(N329="sníž. přenesená",J329,0)</f>
        <v>0</v>
      </c>
      <c r="BI329" s="98">
        <f>IF(N329="nulová",J329,0)</f>
        <v>0</v>
      </c>
      <c r="BJ329" s="10" t="s">
        <v>46</v>
      </c>
      <c r="BK329" s="98">
        <f>ROUND(I329*H329,2)</f>
        <v>2037.61</v>
      </c>
      <c r="BL329" s="10" t="s">
        <v>83</v>
      </c>
      <c r="BM329" s="97" t="s">
        <v>397</v>
      </c>
    </row>
    <row r="330" spans="1:65" s="1" customFormat="1" x14ac:dyDescent="0.2">
      <c r="A330" s="156"/>
      <c r="B330" s="16"/>
      <c r="C330" s="156"/>
      <c r="D330" s="99" t="s">
        <v>84</v>
      </c>
      <c r="E330" s="156"/>
      <c r="F330" s="100" t="s">
        <v>191</v>
      </c>
      <c r="G330" s="156"/>
      <c r="H330" s="156"/>
      <c r="I330" s="101"/>
      <c r="J330" s="156"/>
      <c r="K330" s="156"/>
      <c r="L330" s="16"/>
      <c r="M330" s="102"/>
      <c r="N330" s="103"/>
      <c r="O330" s="27"/>
      <c r="P330" s="27"/>
      <c r="Q330" s="27"/>
      <c r="R330" s="27"/>
      <c r="S330" s="27"/>
      <c r="T330" s="28"/>
      <c r="U330" s="156"/>
      <c r="V330" s="156"/>
      <c r="W330" s="156"/>
      <c r="X330" s="156"/>
      <c r="Y330" s="156"/>
      <c r="Z330" s="156"/>
      <c r="AA330" s="156"/>
      <c r="AB330" s="156"/>
      <c r="AC330" s="156"/>
      <c r="AD330" s="156"/>
      <c r="AE330" s="156"/>
      <c r="AT330" s="10" t="s">
        <v>84</v>
      </c>
      <c r="AU330" s="10" t="s">
        <v>47</v>
      </c>
    </row>
    <row r="331" spans="1:65" s="1" customFormat="1" ht="37.9" customHeight="1" x14ac:dyDescent="0.2">
      <c r="A331" s="156"/>
      <c r="B331" s="85"/>
      <c r="C331" s="86" t="s">
        <v>398</v>
      </c>
      <c r="D331" s="86" t="s">
        <v>78</v>
      </c>
      <c r="E331" s="87" t="s">
        <v>192</v>
      </c>
      <c r="F331" s="88" t="s">
        <v>120</v>
      </c>
      <c r="G331" s="89" t="s">
        <v>119</v>
      </c>
      <c r="H331" s="90">
        <v>11.151</v>
      </c>
      <c r="I331" s="91">
        <v>110.6455721</v>
      </c>
      <c r="J331" s="92">
        <f>ROUND(I331*H331,2)</f>
        <v>1233.81</v>
      </c>
      <c r="K331" s="88" t="s">
        <v>82</v>
      </c>
      <c r="L331" s="16"/>
      <c r="M331" s="93" t="s">
        <v>0</v>
      </c>
      <c r="N331" s="94" t="s">
        <v>27</v>
      </c>
      <c r="O331" s="27"/>
      <c r="P331" s="95">
        <f>O331*H331</f>
        <v>0</v>
      </c>
      <c r="Q331" s="95">
        <v>0</v>
      </c>
      <c r="R331" s="95">
        <f>Q331*H331</f>
        <v>0</v>
      </c>
      <c r="S331" s="95">
        <v>0</v>
      </c>
      <c r="T331" s="96">
        <f>S331*H331</f>
        <v>0</v>
      </c>
      <c r="U331" s="156"/>
      <c r="V331" s="156"/>
      <c r="W331" s="156"/>
      <c r="X331" s="156"/>
      <c r="Y331" s="156"/>
      <c r="Z331" s="156"/>
      <c r="AA331" s="156"/>
      <c r="AB331" s="156"/>
      <c r="AC331" s="156"/>
      <c r="AD331" s="156"/>
      <c r="AE331" s="156"/>
      <c r="AR331" s="97" t="s">
        <v>83</v>
      </c>
      <c r="AT331" s="97" t="s">
        <v>78</v>
      </c>
      <c r="AU331" s="97" t="s">
        <v>47</v>
      </c>
      <c r="AY331" s="10" t="s">
        <v>75</v>
      </c>
      <c r="BE331" s="98">
        <f>IF(N331="základní",J331,0)</f>
        <v>1233.81</v>
      </c>
      <c r="BF331" s="98">
        <f>IF(N331="snížená",J331,0)</f>
        <v>0</v>
      </c>
      <c r="BG331" s="98">
        <f>IF(N331="zákl. přenesená",J331,0)</f>
        <v>0</v>
      </c>
      <c r="BH331" s="98">
        <f>IF(N331="sníž. přenesená",J331,0)</f>
        <v>0</v>
      </c>
      <c r="BI331" s="98">
        <f>IF(N331="nulová",J331,0)</f>
        <v>0</v>
      </c>
      <c r="BJ331" s="10" t="s">
        <v>46</v>
      </c>
      <c r="BK331" s="98">
        <f>ROUND(I331*H331,2)</f>
        <v>1233.81</v>
      </c>
      <c r="BL331" s="10" t="s">
        <v>83</v>
      </c>
      <c r="BM331" s="97" t="s">
        <v>399</v>
      </c>
    </row>
    <row r="332" spans="1:65" s="1" customFormat="1" ht="29.25" x14ac:dyDescent="0.2">
      <c r="A332" s="156"/>
      <c r="B332" s="16"/>
      <c r="C332" s="156"/>
      <c r="D332" s="99" t="s">
        <v>84</v>
      </c>
      <c r="E332" s="156"/>
      <c r="F332" s="100" t="s">
        <v>120</v>
      </c>
      <c r="G332" s="156"/>
      <c r="H332" s="156"/>
      <c r="I332" s="101"/>
      <c r="J332" s="156"/>
      <c r="K332" s="156"/>
      <c r="L332" s="16"/>
      <c r="M332" s="102"/>
      <c r="N332" s="103"/>
      <c r="O332" s="27"/>
      <c r="P332" s="27"/>
      <c r="Q332" s="27"/>
      <c r="R332" s="27"/>
      <c r="S332" s="27"/>
      <c r="T332" s="28"/>
      <c r="U332" s="156"/>
      <c r="V332" s="156"/>
      <c r="W332" s="156"/>
      <c r="X332" s="156"/>
      <c r="Y332" s="156"/>
      <c r="Z332" s="156"/>
      <c r="AA332" s="156"/>
      <c r="AB332" s="156"/>
      <c r="AC332" s="156"/>
      <c r="AD332" s="156"/>
      <c r="AE332" s="156"/>
      <c r="AT332" s="10" t="s">
        <v>84</v>
      </c>
      <c r="AU332" s="10" t="s">
        <v>47</v>
      </c>
    </row>
    <row r="333" spans="1:65" s="7" customFormat="1" x14ac:dyDescent="0.2">
      <c r="B333" s="112"/>
      <c r="D333" s="99" t="s">
        <v>87</v>
      </c>
      <c r="E333" s="113" t="s">
        <v>0</v>
      </c>
      <c r="F333" s="114" t="s">
        <v>412</v>
      </c>
      <c r="H333" s="115">
        <v>11.151</v>
      </c>
      <c r="I333" s="116"/>
      <c r="L333" s="112"/>
      <c r="M333" s="117"/>
      <c r="N333" s="118"/>
      <c r="O333" s="118"/>
      <c r="P333" s="118"/>
      <c r="Q333" s="118"/>
      <c r="R333" s="118"/>
      <c r="S333" s="118"/>
      <c r="T333" s="119"/>
      <c r="AT333" s="113" t="s">
        <v>87</v>
      </c>
      <c r="AU333" s="113" t="s">
        <v>47</v>
      </c>
      <c r="AV333" s="7" t="s">
        <v>47</v>
      </c>
      <c r="AW333" s="7" t="s">
        <v>19</v>
      </c>
      <c r="AX333" s="7" t="s">
        <v>46</v>
      </c>
      <c r="AY333" s="113" t="s">
        <v>75</v>
      </c>
    </row>
    <row r="334" spans="1:65" s="1" customFormat="1" ht="37.9" customHeight="1" x14ac:dyDescent="0.2">
      <c r="A334" s="156"/>
      <c r="B334" s="85"/>
      <c r="C334" s="86" t="s">
        <v>400</v>
      </c>
      <c r="D334" s="86" t="s">
        <v>78</v>
      </c>
      <c r="E334" s="87" t="s">
        <v>193</v>
      </c>
      <c r="F334" s="88" t="s">
        <v>194</v>
      </c>
      <c r="G334" s="89" t="s">
        <v>119</v>
      </c>
      <c r="H334" s="90">
        <v>1.9119999999999999</v>
      </c>
      <c r="I334" s="91">
        <v>250.3439285</v>
      </c>
      <c r="J334" s="92">
        <f>ROUND(I334*H334,2)</f>
        <v>478.66</v>
      </c>
      <c r="K334" s="88" t="s">
        <v>82</v>
      </c>
      <c r="L334" s="16"/>
      <c r="M334" s="93" t="s">
        <v>0</v>
      </c>
      <c r="N334" s="94" t="s">
        <v>27</v>
      </c>
      <c r="O334" s="27"/>
      <c r="P334" s="95">
        <f>O334*H334</f>
        <v>0</v>
      </c>
      <c r="Q334" s="95">
        <v>0</v>
      </c>
      <c r="R334" s="95">
        <f>Q334*H334</f>
        <v>0</v>
      </c>
      <c r="S334" s="95">
        <v>0</v>
      </c>
      <c r="T334" s="96">
        <f>S334*H334</f>
        <v>0</v>
      </c>
      <c r="U334" s="156"/>
      <c r="V334" s="156"/>
      <c r="W334" s="156"/>
      <c r="X334" s="156"/>
      <c r="Y334" s="156"/>
      <c r="Z334" s="156"/>
      <c r="AA334" s="156"/>
      <c r="AB334" s="156"/>
      <c r="AC334" s="156"/>
      <c r="AD334" s="156"/>
      <c r="AE334" s="156"/>
      <c r="AR334" s="97" t="s">
        <v>83</v>
      </c>
      <c r="AT334" s="97" t="s">
        <v>78</v>
      </c>
      <c r="AU334" s="97" t="s">
        <v>47</v>
      </c>
      <c r="AY334" s="10" t="s">
        <v>75</v>
      </c>
      <c r="BE334" s="98">
        <f>IF(N334="základní",J334,0)</f>
        <v>478.66</v>
      </c>
      <c r="BF334" s="98">
        <f>IF(N334="snížená",J334,0)</f>
        <v>0</v>
      </c>
      <c r="BG334" s="98">
        <f>IF(N334="zákl. přenesená",J334,0)</f>
        <v>0</v>
      </c>
      <c r="BH334" s="98">
        <f>IF(N334="sníž. přenesená",J334,0)</f>
        <v>0</v>
      </c>
      <c r="BI334" s="98">
        <f>IF(N334="nulová",J334,0)</f>
        <v>0</v>
      </c>
      <c r="BJ334" s="10" t="s">
        <v>46</v>
      </c>
      <c r="BK334" s="98">
        <f>ROUND(I334*H334,2)</f>
        <v>478.66</v>
      </c>
      <c r="BL334" s="10" t="s">
        <v>83</v>
      </c>
      <c r="BM334" s="97" t="s">
        <v>401</v>
      </c>
    </row>
    <row r="335" spans="1:65" s="1" customFormat="1" ht="29.25" x14ac:dyDescent="0.2">
      <c r="A335" s="156"/>
      <c r="B335" s="16"/>
      <c r="C335" s="156"/>
      <c r="D335" s="99" t="s">
        <v>84</v>
      </c>
      <c r="E335" s="156"/>
      <c r="F335" s="100" t="s">
        <v>194</v>
      </c>
      <c r="G335" s="156"/>
      <c r="H335" s="156"/>
      <c r="I335" s="101"/>
      <c r="J335" s="156"/>
      <c r="K335" s="156"/>
      <c r="L335" s="16"/>
      <c r="M335" s="102"/>
      <c r="N335" s="103"/>
      <c r="O335" s="27"/>
      <c r="P335" s="27"/>
      <c r="Q335" s="27"/>
      <c r="R335" s="27"/>
      <c r="S335" s="27"/>
      <c r="T335" s="28"/>
      <c r="U335" s="156"/>
      <c r="V335" s="156"/>
      <c r="W335" s="156"/>
      <c r="X335" s="156"/>
      <c r="Y335" s="156"/>
      <c r="Z335" s="156"/>
      <c r="AA335" s="156"/>
      <c r="AB335" s="156"/>
      <c r="AC335" s="156"/>
      <c r="AD335" s="156"/>
      <c r="AE335" s="156"/>
      <c r="AT335" s="10" t="s">
        <v>84</v>
      </c>
      <c r="AU335" s="10" t="s">
        <v>47</v>
      </c>
    </row>
    <row r="336" spans="1:65" s="7" customFormat="1" x14ac:dyDescent="0.2">
      <c r="B336" s="112"/>
      <c r="D336" s="99" t="s">
        <v>87</v>
      </c>
      <c r="E336" s="113" t="s">
        <v>0</v>
      </c>
      <c r="F336" s="114" t="s">
        <v>185</v>
      </c>
      <c r="H336" s="115">
        <v>1.9119999999999999</v>
      </c>
      <c r="I336" s="116"/>
      <c r="L336" s="112"/>
      <c r="M336" s="117"/>
      <c r="N336" s="118"/>
      <c r="O336" s="118"/>
      <c r="P336" s="118"/>
      <c r="Q336" s="118"/>
      <c r="R336" s="118"/>
      <c r="S336" s="118"/>
      <c r="T336" s="119"/>
      <c r="AT336" s="113" t="s">
        <v>87</v>
      </c>
      <c r="AU336" s="113" t="s">
        <v>47</v>
      </c>
      <c r="AV336" s="7" t="s">
        <v>47</v>
      </c>
      <c r="AW336" s="7" t="s">
        <v>19</v>
      </c>
      <c r="AX336" s="7" t="s">
        <v>46</v>
      </c>
      <c r="AY336" s="113" t="s">
        <v>75</v>
      </c>
    </row>
    <row r="337" spans="1:65" s="5" customFormat="1" ht="22.9" customHeight="1" x14ac:dyDescent="0.2">
      <c r="B337" s="72"/>
      <c r="D337" s="73" t="s">
        <v>44</v>
      </c>
      <c r="E337" s="83" t="s">
        <v>136</v>
      </c>
      <c r="F337" s="83" t="s">
        <v>137</v>
      </c>
      <c r="I337" s="75"/>
      <c r="J337" s="84">
        <f>BK337</f>
        <v>542.87</v>
      </c>
      <c r="L337" s="72"/>
      <c r="M337" s="77"/>
      <c r="N337" s="78"/>
      <c r="O337" s="78"/>
      <c r="P337" s="79">
        <f>SUM(P338:P339)</f>
        <v>0</v>
      </c>
      <c r="Q337" s="78"/>
      <c r="R337" s="79">
        <f>SUM(R338:R339)</f>
        <v>0</v>
      </c>
      <c r="S337" s="78"/>
      <c r="T337" s="80">
        <f>SUM(T338:T339)</f>
        <v>0</v>
      </c>
      <c r="AR337" s="73" t="s">
        <v>46</v>
      </c>
      <c r="AT337" s="81" t="s">
        <v>44</v>
      </c>
      <c r="AU337" s="81" t="s">
        <v>46</v>
      </c>
      <c r="AY337" s="73" t="s">
        <v>75</v>
      </c>
      <c r="BK337" s="82">
        <f>SUM(BK338:BK339)</f>
        <v>542.87</v>
      </c>
    </row>
    <row r="338" spans="1:65" s="1" customFormat="1" ht="24.2" customHeight="1" x14ac:dyDescent="0.2">
      <c r="A338" s="156"/>
      <c r="B338" s="85"/>
      <c r="C338" s="86" t="s">
        <v>402</v>
      </c>
      <c r="D338" s="86" t="s">
        <v>78</v>
      </c>
      <c r="E338" s="87" t="s">
        <v>403</v>
      </c>
      <c r="F338" s="88" t="s">
        <v>404</v>
      </c>
      <c r="G338" s="89" t="s">
        <v>119</v>
      </c>
      <c r="H338" s="90">
        <v>0.6</v>
      </c>
      <c r="I338" s="91">
        <v>904.78117744148574</v>
      </c>
      <c r="J338" s="92">
        <f>ROUND(I338*H338,2)</f>
        <v>542.87</v>
      </c>
      <c r="K338" s="88" t="s">
        <v>82</v>
      </c>
      <c r="L338" s="16"/>
      <c r="M338" s="93" t="s">
        <v>0</v>
      </c>
      <c r="N338" s="94" t="s">
        <v>27</v>
      </c>
      <c r="O338" s="27"/>
      <c r="P338" s="95">
        <f>O338*H338</f>
        <v>0</v>
      </c>
      <c r="Q338" s="95">
        <v>0</v>
      </c>
      <c r="R338" s="95">
        <f>Q338*H338</f>
        <v>0</v>
      </c>
      <c r="S338" s="95">
        <v>0</v>
      </c>
      <c r="T338" s="96">
        <f>S338*H338</f>
        <v>0</v>
      </c>
      <c r="U338" s="156"/>
      <c r="V338" s="156"/>
      <c r="W338" s="156"/>
      <c r="X338" s="156"/>
      <c r="Y338" s="156"/>
      <c r="Z338" s="156"/>
      <c r="AA338" s="156"/>
      <c r="AB338" s="156"/>
      <c r="AC338" s="156"/>
      <c r="AD338" s="156"/>
      <c r="AE338" s="156"/>
      <c r="AR338" s="97" t="s">
        <v>83</v>
      </c>
      <c r="AT338" s="97" t="s">
        <v>78</v>
      </c>
      <c r="AU338" s="97" t="s">
        <v>47</v>
      </c>
      <c r="AY338" s="10" t="s">
        <v>75</v>
      </c>
      <c r="BE338" s="98">
        <f>IF(N338="základní",J338,0)</f>
        <v>542.87</v>
      </c>
      <c r="BF338" s="98">
        <f>IF(N338="snížená",J338,0)</f>
        <v>0</v>
      </c>
      <c r="BG338" s="98">
        <f>IF(N338="zákl. přenesená",J338,0)</f>
        <v>0</v>
      </c>
      <c r="BH338" s="98">
        <f>IF(N338="sníž. přenesená",J338,0)</f>
        <v>0</v>
      </c>
      <c r="BI338" s="98">
        <f>IF(N338="nulová",J338,0)</f>
        <v>0</v>
      </c>
      <c r="BJ338" s="10" t="s">
        <v>46</v>
      </c>
      <c r="BK338" s="98">
        <f>ROUND(I338*H338,2)</f>
        <v>542.87</v>
      </c>
      <c r="BL338" s="10" t="s">
        <v>83</v>
      </c>
      <c r="BM338" s="97" t="s">
        <v>405</v>
      </c>
    </row>
    <row r="339" spans="1:65" s="1" customFormat="1" ht="29.25" x14ac:dyDescent="0.2">
      <c r="A339" s="156"/>
      <c r="B339" s="16"/>
      <c r="C339" s="156"/>
      <c r="D339" s="99" t="s">
        <v>84</v>
      </c>
      <c r="E339" s="156"/>
      <c r="F339" s="100" t="s">
        <v>406</v>
      </c>
      <c r="G339" s="156"/>
      <c r="H339" s="156"/>
      <c r="I339" s="101"/>
      <c r="J339" s="156"/>
      <c r="K339" s="156"/>
      <c r="L339" s="16"/>
      <c r="M339" s="102"/>
      <c r="N339" s="103"/>
      <c r="O339" s="27"/>
      <c r="P339" s="27"/>
      <c r="Q339" s="27"/>
      <c r="R339" s="27"/>
      <c r="S339" s="27"/>
      <c r="T339" s="28"/>
      <c r="U339" s="156"/>
      <c r="V339" s="156"/>
      <c r="W339" s="156"/>
      <c r="X339" s="156"/>
      <c r="Y339" s="156"/>
      <c r="Z339" s="156"/>
      <c r="AA339" s="156"/>
      <c r="AB339" s="156"/>
      <c r="AC339" s="156"/>
      <c r="AD339" s="156"/>
      <c r="AE339" s="156"/>
      <c r="AT339" s="10" t="s">
        <v>84</v>
      </c>
      <c r="AU339" s="10" t="s">
        <v>47</v>
      </c>
    </row>
    <row r="340" spans="1:65" s="1" customFormat="1" ht="6.95" customHeight="1" x14ac:dyDescent="0.2">
      <c r="A340" s="156"/>
      <c r="B340" s="22"/>
      <c r="C340" s="23"/>
      <c r="D340" s="23"/>
      <c r="E340" s="23"/>
      <c r="F340" s="23"/>
      <c r="G340" s="23"/>
      <c r="H340" s="23"/>
      <c r="I340" s="23"/>
      <c r="J340" s="23"/>
      <c r="K340" s="23"/>
      <c r="L340" s="16"/>
      <c r="M340" s="156"/>
      <c r="O340" s="156"/>
      <c r="P340" s="156"/>
      <c r="Q340" s="156"/>
      <c r="R340" s="156"/>
      <c r="S340" s="156"/>
      <c r="T340" s="156"/>
      <c r="U340" s="156"/>
      <c r="V340" s="156"/>
      <c r="W340" s="156"/>
      <c r="X340" s="156"/>
      <c r="Y340" s="156"/>
      <c r="Z340" s="156"/>
      <c r="AA340" s="156"/>
      <c r="AB340" s="156"/>
      <c r="AC340" s="156"/>
      <c r="AD340" s="156"/>
      <c r="AE340" s="156"/>
    </row>
  </sheetData>
  <autoFilter ref="C131:K339"/>
  <mergeCells count="15">
    <mergeCell ref="E22:H22"/>
    <mergeCell ref="L2:V2"/>
    <mergeCell ref="E7:H7"/>
    <mergeCell ref="E9:H9"/>
    <mergeCell ref="E11:H11"/>
    <mergeCell ref="E13:H13"/>
    <mergeCell ref="E120:H120"/>
    <mergeCell ref="E122:H122"/>
    <mergeCell ref="E124:H124"/>
    <mergeCell ref="E31:H31"/>
    <mergeCell ref="E84:H84"/>
    <mergeCell ref="E86:H86"/>
    <mergeCell ref="E88:H88"/>
    <mergeCell ref="E90:H90"/>
    <mergeCell ref="E118:H118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6"/>
  <sheetViews>
    <sheetView windowProtection="1" showGridLines="0" topLeftCell="A66" workbookViewId="0">
      <selection activeCell="E14" sqref="E14"/>
    </sheetView>
  </sheetViews>
  <sheetFormatPr defaultRowHeight="11.25" x14ac:dyDescent="0.2"/>
  <cols>
    <col min="1" max="1" width="8.33203125" style="146" customWidth="1"/>
    <col min="2" max="2" width="1.1640625" style="146" customWidth="1"/>
    <col min="3" max="3" width="4.1640625" style="146" customWidth="1"/>
    <col min="4" max="4" width="4.33203125" style="146" customWidth="1"/>
    <col min="5" max="5" width="17.1640625" style="146" customWidth="1"/>
    <col min="6" max="6" width="50.83203125" style="146" customWidth="1"/>
    <col min="7" max="7" width="7.5" style="146" customWidth="1"/>
    <col min="8" max="8" width="11.5" style="146" customWidth="1"/>
    <col min="9" max="11" width="20.1640625" style="146" customWidth="1"/>
    <col min="12" max="12" width="9.33203125" style="146" customWidth="1"/>
    <col min="13" max="13" width="10.83203125" style="146" hidden="1" customWidth="1"/>
    <col min="14" max="14" width="9.33203125" style="146"/>
    <col min="15" max="20" width="14.1640625" style="146" hidden="1" customWidth="1"/>
    <col min="21" max="21" width="16.33203125" style="146" hidden="1" customWidth="1"/>
    <col min="22" max="22" width="12.33203125" style="146" customWidth="1"/>
    <col min="23" max="23" width="16.33203125" style="146" customWidth="1"/>
    <col min="24" max="24" width="12.33203125" style="146" customWidth="1"/>
    <col min="25" max="25" width="15" style="146" customWidth="1"/>
    <col min="26" max="26" width="11" style="146" customWidth="1"/>
    <col min="27" max="27" width="15" style="146" customWidth="1"/>
    <col min="28" max="28" width="16.33203125" style="146" customWidth="1"/>
    <col min="29" max="29" width="11" style="146" customWidth="1"/>
    <col min="30" max="30" width="15" style="146" customWidth="1"/>
    <col min="31" max="31" width="16.33203125" style="146" customWidth="1"/>
    <col min="32" max="16384" width="9.33203125" style="146"/>
  </cols>
  <sheetData>
    <row r="2" spans="1:46" ht="36.950000000000003" customHeight="1" x14ac:dyDescent="0.2">
      <c r="L2" s="204" t="s">
        <v>2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0" t="s">
        <v>196</v>
      </c>
    </row>
    <row r="3" spans="1:46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47</v>
      </c>
    </row>
    <row r="4" spans="1:46" ht="24.95" customHeight="1" x14ac:dyDescent="0.2">
      <c r="B4" s="13"/>
      <c r="D4" s="14" t="s">
        <v>49</v>
      </c>
      <c r="L4" s="13"/>
      <c r="M4" s="36" t="s">
        <v>5</v>
      </c>
      <c r="AT4" s="10" t="s">
        <v>1</v>
      </c>
    </row>
    <row r="5" spans="1:46" ht="6.95" customHeight="1" x14ac:dyDescent="0.2">
      <c r="B5" s="13"/>
      <c r="L5" s="13"/>
    </row>
    <row r="6" spans="1:46" ht="12" customHeight="1" x14ac:dyDescent="0.2">
      <c r="B6" s="13"/>
      <c r="D6" s="154" t="s">
        <v>6</v>
      </c>
      <c r="L6" s="13"/>
    </row>
    <row r="7" spans="1:46" ht="16.5" customHeight="1" x14ac:dyDescent="0.2">
      <c r="B7" s="13"/>
      <c r="E7" s="195" t="e">
        <f>#REF!</f>
        <v>#REF!</v>
      </c>
      <c r="F7" s="201"/>
      <c r="G7" s="201"/>
      <c r="H7" s="201"/>
      <c r="L7" s="13"/>
    </row>
    <row r="8" spans="1:46" ht="12.75" x14ac:dyDescent="0.2">
      <c r="B8" s="13"/>
      <c r="D8" s="154" t="s">
        <v>50</v>
      </c>
      <c r="L8" s="13"/>
    </row>
    <row r="9" spans="1:46" ht="16.5" customHeight="1" x14ac:dyDescent="0.2">
      <c r="B9" s="13"/>
      <c r="E9" s="195" t="s">
        <v>51</v>
      </c>
      <c r="F9" s="196"/>
      <c r="G9" s="196"/>
      <c r="H9" s="196"/>
      <c r="L9" s="13"/>
    </row>
    <row r="10" spans="1:46" ht="12" customHeight="1" x14ac:dyDescent="0.2">
      <c r="B10" s="13"/>
      <c r="D10" s="154" t="s">
        <v>52</v>
      </c>
      <c r="L10" s="13"/>
    </row>
    <row r="11" spans="1:46" s="1" customFormat="1" ht="16.5" customHeight="1" x14ac:dyDescent="0.2">
      <c r="A11" s="156"/>
      <c r="B11" s="16"/>
      <c r="C11" s="156"/>
      <c r="D11" s="156"/>
      <c r="E11" s="197" t="s">
        <v>201</v>
      </c>
      <c r="F11" s="198"/>
      <c r="G11" s="198"/>
      <c r="H11" s="198"/>
      <c r="I11" s="156"/>
      <c r="J11" s="156"/>
      <c r="K11" s="156"/>
      <c r="L11" s="17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</row>
    <row r="12" spans="1:46" s="1" customFormat="1" ht="12" customHeight="1" x14ac:dyDescent="0.2">
      <c r="A12" s="156"/>
      <c r="B12" s="16"/>
      <c r="C12" s="156"/>
      <c r="D12" s="154" t="s">
        <v>202</v>
      </c>
      <c r="E12" s="156"/>
      <c r="F12" s="156"/>
      <c r="G12" s="156"/>
      <c r="H12" s="156"/>
      <c r="I12" s="156"/>
      <c r="J12" s="156"/>
      <c r="K12" s="156"/>
      <c r="L12" s="17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</row>
    <row r="13" spans="1:46" s="1" customFormat="1" ht="16.5" customHeight="1" x14ac:dyDescent="0.2">
      <c r="A13" s="156"/>
      <c r="B13" s="16"/>
      <c r="C13" s="156"/>
      <c r="D13" s="156"/>
      <c r="E13" s="199" t="s">
        <v>560</v>
      </c>
      <c r="F13" s="198"/>
      <c r="G13" s="198"/>
      <c r="H13" s="198"/>
      <c r="I13" s="156"/>
      <c r="J13" s="156"/>
      <c r="K13" s="156"/>
      <c r="L13" s="17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</row>
    <row r="14" spans="1:46" s="1" customFormat="1" x14ac:dyDescent="0.2">
      <c r="A14" s="156"/>
      <c r="B14" s="16"/>
      <c r="C14" s="156"/>
      <c r="D14" s="156"/>
      <c r="E14" s="156"/>
      <c r="F14" s="156"/>
      <c r="G14" s="156"/>
      <c r="H14" s="156"/>
      <c r="I14" s="156"/>
      <c r="J14" s="156"/>
      <c r="K14" s="156"/>
      <c r="L14" s="17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</row>
    <row r="15" spans="1:46" s="1" customFormat="1" ht="12" customHeight="1" x14ac:dyDescent="0.2">
      <c r="A15" s="156"/>
      <c r="B15" s="16"/>
      <c r="C15" s="156"/>
      <c r="D15" s="154" t="s">
        <v>7</v>
      </c>
      <c r="E15" s="156"/>
      <c r="F15" s="147" t="s">
        <v>0</v>
      </c>
      <c r="G15" s="156"/>
      <c r="H15" s="156"/>
      <c r="I15" s="154" t="s">
        <v>8</v>
      </c>
      <c r="J15" s="147" t="s">
        <v>203</v>
      </c>
      <c r="K15" s="156"/>
      <c r="L15" s="17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</row>
    <row r="16" spans="1:46" s="1" customFormat="1" ht="12" customHeight="1" x14ac:dyDescent="0.2">
      <c r="A16" s="156"/>
      <c r="B16" s="16"/>
      <c r="C16" s="156"/>
      <c r="D16" s="154" t="s">
        <v>9</v>
      </c>
      <c r="E16" s="156"/>
      <c r="F16" s="147" t="s">
        <v>10</v>
      </c>
      <c r="G16" s="156"/>
      <c r="H16" s="156"/>
      <c r="I16" s="154" t="s">
        <v>11</v>
      </c>
      <c r="J16" s="153" t="e">
        <f>#REF!</f>
        <v>#REF!</v>
      </c>
      <c r="K16" s="156"/>
      <c r="L16" s="17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</row>
    <row r="17" spans="1:31" s="1" customFormat="1" ht="21.75" customHeight="1" x14ac:dyDescent="0.2">
      <c r="A17" s="156"/>
      <c r="B17" s="16"/>
      <c r="C17" s="156"/>
      <c r="D17" s="15" t="s">
        <v>204</v>
      </c>
      <c r="E17" s="156"/>
      <c r="F17" s="166" t="s">
        <v>205</v>
      </c>
      <c r="G17" s="156"/>
      <c r="H17" s="156"/>
      <c r="I17" s="156"/>
      <c r="J17" s="156"/>
      <c r="K17" s="156"/>
      <c r="L17" s="17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</row>
    <row r="18" spans="1:31" s="1" customFormat="1" ht="12" customHeight="1" x14ac:dyDescent="0.2">
      <c r="A18" s="156"/>
      <c r="B18" s="16"/>
      <c r="C18" s="156"/>
      <c r="D18" s="154" t="s">
        <v>12</v>
      </c>
      <c r="E18" s="156"/>
      <c r="F18" s="156"/>
      <c r="G18" s="156"/>
      <c r="H18" s="156"/>
      <c r="I18" s="154" t="s">
        <v>13</v>
      </c>
      <c r="J18" s="147" t="s">
        <v>0</v>
      </c>
      <c r="K18" s="156"/>
      <c r="L18" s="17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</row>
    <row r="19" spans="1:31" s="1" customFormat="1" ht="18" customHeight="1" x14ac:dyDescent="0.2">
      <c r="A19" s="156"/>
      <c r="B19" s="16"/>
      <c r="C19" s="156"/>
      <c r="D19" s="156"/>
      <c r="E19" s="147" t="s">
        <v>14</v>
      </c>
      <c r="F19" s="156"/>
      <c r="G19" s="156"/>
      <c r="H19" s="156"/>
      <c r="I19" s="154" t="s">
        <v>15</v>
      </c>
      <c r="J19" s="147" t="s">
        <v>0</v>
      </c>
      <c r="K19" s="156"/>
      <c r="L19" s="17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</row>
    <row r="20" spans="1:31" s="1" customFormat="1" ht="6.95" customHeight="1" x14ac:dyDescent="0.2">
      <c r="A20" s="156"/>
      <c r="B20" s="16"/>
      <c r="C20" s="156"/>
      <c r="D20" s="156"/>
      <c r="E20" s="156"/>
      <c r="F20" s="156"/>
      <c r="G20" s="156"/>
      <c r="H20" s="156"/>
      <c r="I20" s="156"/>
      <c r="J20" s="156"/>
      <c r="K20" s="156"/>
      <c r="L20" s="17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</row>
    <row r="21" spans="1:31" s="1" customFormat="1" ht="12" customHeight="1" x14ac:dyDescent="0.2">
      <c r="A21" s="156"/>
      <c r="B21" s="16"/>
      <c r="C21" s="156"/>
      <c r="D21" s="154" t="s">
        <v>16</v>
      </c>
      <c r="E21" s="156"/>
      <c r="F21" s="156"/>
      <c r="G21" s="156"/>
      <c r="H21" s="156"/>
      <c r="I21" s="154" t="s">
        <v>13</v>
      </c>
      <c r="J21" s="157" t="e">
        <f>#REF!</f>
        <v>#REF!</v>
      </c>
      <c r="K21" s="156"/>
      <c r="L21" s="17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</row>
    <row r="22" spans="1:31" s="1" customFormat="1" ht="18" customHeight="1" x14ac:dyDescent="0.2">
      <c r="A22" s="156"/>
      <c r="B22" s="16"/>
      <c r="C22" s="156"/>
      <c r="D22" s="156"/>
      <c r="E22" s="202" t="e">
        <f>#REF!</f>
        <v>#REF!</v>
      </c>
      <c r="F22" s="203"/>
      <c r="G22" s="203"/>
      <c r="H22" s="203"/>
      <c r="I22" s="154" t="s">
        <v>15</v>
      </c>
      <c r="J22" s="157" t="e">
        <f>#REF!</f>
        <v>#REF!</v>
      </c>
      <c r="K22" s="156"/>
      <c r="L22" s="17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</row>
    <row r="23" spans="1:31" s="1" customFormat="1" ht="6.95" customHeight="1" x14ac:dyDescent="0.2">
      <c r="A23" s="156"/>
      <c r="B23" s="16"/>
      <c r="C23" s="156"/>
      <c r="D23" s="156"/>
      <c r="E23" s="156"/>
      <c r="F23" s="156"/>
      <c r="G23" s="156"/>
      <c r="H23" s="156"/>
      <c r="I23" s="156"/>
      <c r="J23" s="156"/>
      <c r="K23" s="156"/>
      <c r="L23" s="17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</row>
    <row r="24" spans="1:31" s="1" customFormat="1" ht="12" customHeight="1" x14ac:dyDescent="0.2">
      <c r="A24" s="156"/>
      <c r="B24" s="16"/>
      <c r="C24" s="156"/>
      <c r="D24" s="154" t="s">
        <v>17</v>
      </c>
      <c r="E24" s="156"/>
      <c r="F24" s="156"/>
      <c r="G24" s="156"/>
      <c r="H24" s="156"/>
      <c r="I24" s="154" t="s">
        <v>13</v>
      </c>
      <c r="J24" s="147" t="s">
        <v>0</v>
      </c>
      <c r="K24" s="156"/>
      <c r="L24" s="17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</row>
    <row r="25" spans="1:31" s="1" customFormat="1" ht="18" customHeight="1" x14ac:dyDescent="0.2">
      <c r="A25" s="156"/>
      <c r="B25" s="16"/>
      <c r="C25" s="156"/>
      <c r="D25" s="156"/>
      <c r="E25" s="147" t="s">
        <v>18</v>
      </c>
      <c r="F25" s="156"/>
      <c r="G25" s="156"/>
      <c r="H25" s="156"/>
      <c r="I25" s="154" t="s">
        <v>15</v>
      </c>
      <c r="J25" s="147" t="s">
        <v>0</v>
      </c>
      <c r="K25" s="156"/>
      <c r="L25" s="17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pans="1:31" s="1" customFormat="1" ht="6.95" customHeight="1" x14ac:dyDescent="0.2">
      <c r="A26" s="156"/>
      <c r="B26" s="16"/>
      <c r="C26" s="156"/>
      <c r="D26" s="156"/>
      <c r="E26" s="156"/>
      <c r="F26" s="156"/>
      <c r="G26" s="156"/>
      <c r="H26" s="156"/>
      <c r="I26" s="156"/>
      <c r="J26" s="156"/>
      <c r="K26" s="156"/>
      <c r="L26" s="17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</row>
    <row r="27" spans="1:31" s="1" customFormat="1" ht="12" customHeight="1" x14ac:dyDescent="0.2">
      <c r="A27" s="156"/>
      <c r="B27" s="16"/>
      <c r="C27" s="156"/>
      <c r="D27" s="154" t="s">
        <v>20</v>
      </c>
      <c r="E27" s="156"/>
      <c r="F27" s="156"/>
      <c r="G27" s="156"/>
      <c r="H27" s="156"/>
      <c r="I27" s="154" t="s">
        <v>13</v>
      </c>
      <c r="J27" s="147" t="e">
        <f>IF(#REF!="","",#REF!)</f>
        <v>#REF!</v>
      </c>
      <c r="K27" s="156"/>
      <c r="L27" s="17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pans="1:31" s="1" customFormat="1" ht="18" customHeight="1" x14ac:dyDescent="0.2">
      <c r="A28" s="156"/>
      <c r="B28" s="16"/>
      <c r="C28" s="156"/>
      <c r="D28" s="156"/>
      <c r="E28" s="147" t="e">
        <f>IF(#REF!="","",#REF!)</f>
        <v>#REF!</v>
      </c>
      <c r="F28" s="156"/>
      <c r="G28" s="156"/>
      <c r="H28" s="156"/>
      <c r="I28" s="154" t="s">
        <v>15</v>
      </c>
      <c r="J28" s="147" t="e">
        <f>IF(#REF!="","",#REF!)</f>
        <v>#REF!</v>
      </c>
      <c r="K28" s="156"/>
      <c r="L28" s="17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</row>
    <row r="29" spans="1:31" s="1" customFormat="1" ht="6.95" customHeight="1" x14ac:dyDescent="0.2">
      <c r="A29" s="156"/>
      <c r="B29" s="16"/>
      <c r="C29" s="156"/>
      <c r="D29" s="156"/>
      <c r="E29" s="156"/>
      <c r="F29" s="156"/>
      <c r="G29" s="156"/>
      <c r="H29" s="156"/>
      <c r="I29" s="156"/>
      <c r="J29" s="156"/>
      <c r="K29" s="156"/>
      <c r="L29" s="17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pans="1:31" s="1" customFormat="1" ht="12" customHeight="1" x14ac:dyDescent="0.2">
      <c r="A30" s="156"/>
      <c r="B30" s="16"/>
      <c r="C30" s="156"/>
      <c r="D30" s="154" t="s">
        <v>21</v>
      </c>
      <c r="E30" s="156"/>
      <c r="F30" s="156"/>
      <c r="G30" s="156"/>
      <c r="H30" s="156"/>
      <c r="I30" s="156"/>
      <c r="J30" s="156"/>
      <c r="K30" s="156"/>
      <c r="L30" s="17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</row>
    <row r="31" spans="1:31" s="2" customFormat="1" ht="16.5" customHeight="1" x14ac:dyDescent="0.2">
      <c r="A31" s="37"/>
      <c r="B31" s="38"/>
      <c r="C31" s="37"/>
      <c r="D31" s="37"/>
      <c r="E31" s="200" t="s">
        <v>0</v>
      </c>
      <c r="F31" s="200"/>
      <c r="G31" s="200"/>
      <c r="H31" s="200"/>
      <c r="I31" s="37"/>
      <c r="J31" s="37"/>
      <c r="K31" s="37"/>
      <c r="L31" s="3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1" customFormat="1" ht="6.95" customHeight="1" x14ac:dyDescent="0.2">
      <c r="A32" s="156"/>
      <c r="B32" s="16"/>
      <c r="C32" s="156"/>
      <c r="D32" s="156"/>
      <c r="E32" s="156"/>
      <c r="F32" s="156"/>
      <c r="G32" s="156"/>
      <c r="H32" s="156"/>
      <c r="I32" s="156"/>
      <c r="J32" s="156"/>
      <c r="K32" s="156"/>
      <c r="L32" s="17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</row>
    <row r="33" spans="1:31" s="1" customFormat="1" ht="6.95" customHeight="1" x14ac:dyDescent="0.2">
      <c r="A33" s="156"/>
      <c r="B33" s="16"/>
      <c r="C33" s="156"/>
      <c r="D33" s="34"/>
      <c r="E33" s="34"/>
      <c r="F33" s="34"/>
      <c r="G33" s="34"/>
      <c r="H33" s="34"/>
      <c r="I33" s="34"/>
      <c r="J33" s="34"/>
      <c r="K33" s="34"/>
      <c r="L33" s="17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</row>
    <row r="34" spans="1:31" s="1" customFormat="1" ht="25.35" customHeight="1" x14ac:dyDescent="0.2">
      <c r="A34" s="156"/>
      <c r="B34" s="16"/>
      <c r="C34" s="156"/>
      <c r="D34" s="40" t="s">
        <v>22</v>
      </c>
      <c r="E34" s="156"/>
      <c r="F34" s="156"/>
      <c r="G34" s="156"/>
      <c r="H34" s="156"/>
      <c r="I34" s="156"/>
      <c r="J34" s="152">
        <f>ROUND(J131, 2)</f>
        <v>26181.03</v>
      </c>
      <c r="K34" s="156"/>
      <c r="L34" s="17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</row>
    <row r="35" spans="1:31" s="1" customFormat="1" ht="6.95" customHeight="1" x14ac:dyDescent="0.2">
      <c r="A35" s="156"/>
      <c r="B35" s="16"/>
      <c r="C35" s="156"/>
      <c r="D35" s="34"/>
      <c r="E35" s="34"/>
      <c r="F35" s="34"/>
      <c r="G35" s="34"/>
      <c r="H35" s="34"/>
      <c r="I35" s="34"/>
      <c r="J35" s="34"/>
      <c r="K35" s="34"/>
      <c r="L35" s="17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</row>
    <row r="36" spans="1:31" s="1" customFormat="1" ht="14.45" customHeight="1" x14ac:dyDescent="0.2">
      <c r="A36" s="156"/>
      <c r="B36" s="16"/>
      <c r="C36" s="156"/>
      <c r="D36" s="156"/>
      <c r="E36" s="156"/>
      <c r="F36" s="150" t="s">
        <v>24</v>
      </c>
      <c r="G36" s="156"/>
      <c r="H36" s="156"/>
      <c r="I36" s="150" t="s">
        <v>23</v>
      </c>
      <c r="J36" s="150" t="s">
        <v>25</v>
      </c>
      <c r="K36" s="156"/>
      <c r="L36" s="17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</row>
    <row r="37" spans="1:31" s="1" customFormat="1" ht="14.45" customHeight="1" x14ac:dyDescent="0.2">
      <c r="A37" s="156"/>
      <c r="B37" s="16"/>
      <c r="C37" s="156"/>
      <c r="D37" s="155" t="s">
        <v>26</v>
      </c>
      <c r="E37" s="154" t="s">
        <v>27</v>
      </c>
      <c r="F37" s="41">
        <f>ROUND((SUM(BE131:BE315)),  2)</f>
        <v>26181.03</v>
      </c>
      <c r="G37" s="156"/>
      <c r="H37" s="156"/>
      <c r="I37" s="42">
        <v>0.21</v>
      </c>
      <c r="J37" s="41">
        <f>ROUND(((SUM(BE131:BE315))*I37),  2)</f>
        <v>5498.02</v>
      </c>
      <c r="K37" s="156"/>
      <c r="L37" s="17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</row>
    <row r="38" spans="1:31" s="1" customFormat="1" ht="14.45" customHeight="1" x14ac:dyDescent="0.2">
      <c r="A38" s="156"/>
      <c r="B38" s="16"/>
      <c r="C38" s="156"/>
      <c r="D38" s="156"/>
      <c r="E38" s="154" t="s">
        <v>28</v>
      </c>
      <c r="F38" s="41">
        <f>ROUND((SUM(BF131:BF315)),  2)</f>
        <v>0</v>
      </c>
      <c r="G38" s="156"/>
      <c r="H38" s="156"/>
      <c r="I38" s="42">
        <v>0.15</v>
      </c>
      <c r="J38" s="41">
        <f>ROUND(((SUM(BF131:BF315))*I38),  2)</f>
        <v>0</v>
      </c>
      <c r="K38" s="156"/>
      <c r="L38" s="17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</row>
    <row r="39" spans="1:31" s="1" customFormat="1" ht="14.45" hidden="1" customHeight="1" x14ac:dyDescent="0.2">
      <c r="A39" s="156"/>
      <c r="B39" s="16"/>
      <c r="C39" s="156"/>
      <c r="D39" s="156"/>
      <c r="E39" s="154" t="s">
        <v>29</v>
      </c>
      <c r="F39" s="41">
        <f>ROUND((SUM(BG131:BG315)),  2)</f>
        <v>0</v>
      </c>
      <c r="G39" s="156"/>
      <c r="H39" s="156"/>
      <c r="I39" s="42">
        <v>0.21</v>
      </c>
      <c r="J39" s="41">
        <f>0</f>
        <v>0</v>
      </c>
      <c r="K39" s="156"/>
      <c r="L39" s="17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</row>
    <row r="40" spans="1:31" s="1" customFormat="1" ht="14.45" hidden="1" customHeight="1" x14ac:dyDescent="0.2">
      <c r="A40" s="156"/>
      <c r="B40" s="16"/>
      <c r="C40" s="156"/>
      <c r="D40" s="156"/>
      <c r="E40" s="154" t="s">
        <v>30</v>
      </c>
      <c r="F40" s="41">
        <f>ROUND((SUM(BH131:BH315)),  2)</f>
        <v>0</v>
      </c>
      <c r="G40" s="156"/>
      <c r="H40" s="156"/>
      <c r="I40" s="42">
        <v>0.15</v>
      </c>
      <c r="J40" s="41">
        <f>0</f>
        <v>0</v>
      </c>
      <c r="K40" s="156"/>
      <c r="L40" s="17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</row>
    <row r="41" spans="1:31" s="1" customFormat="1" ht="14.45" hidden="1" customHeight="1" x14ac:dyDescent="0.2">
      <c r="A41" s="156"/>
      <c r="B41" s="16"/>
      <c r="C41" s="156"/>
      <c r="D41" s="156"/>
      <c r="E41" s="154" t="s">
        <v>31</v>
      </c>
      <c r="F41" s="41">
        <f>ROUND((SUM(BI131:BI315)),  2)</f>
        <v>0</v>
      </c>
      <c r="G41" s="156"/>
      <c r="H41" s="156"/>
      <c r="I41" s="42">
        <v>0</v>
      </c>
      <c r="J41" s="41">
        <f>0</f>
        <v>0</v>
      </c>
      <c r="K41" s="156"/>
      <c r="L41" s="17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</row>
    <row r="42" spans="1:31" s="1" customFormat="1" ht="6.95" customHeight="1" x14ac:dyDescent="0.2">
      <c r="A42" s="156"/>
      <c r="B42" s="16"/>
      <c r="C42" s="156"/>
      <c r="D42" s="156"/>
      <c r="E42" s="156"/>
      <c r="F42" s="156"/>
      <c r="G42" s="156"/>
      <c r="H42" s="156"/>
      <c r="I42" s="156"/>
      <c r="J42" s="156"/>
      <c r="K42" s="156"/>
      <c r="L42" s="17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</row>
    <row r="43" spans="1:31" s="1" customFormat="1" ht="25.35" customHeight="1" x14ac:dyDescent="0.2">
      <c r="A43" s="156"/>
      <c r="B43" s="16"/>
      <c r="C43" s="43"/>
      <c r="D43" s="44" t="s">
        <v>32</v>
      </c>
      <c r="E43" s="29"/>
      <c r="F43" s="29"/>
      <c r="G43" s="45" t="s">
        <v>33</v>
      </c>
      <c r="H43" s="46" t="s">
        <v>34</v>
      </c>
      <c r="I43" s="29"/>
      <c r="J43" s="47">
        <f>SUM(J34:J41)</f>
        <v>31679.05</v>
      </c>
      <c r="K43" s="48"/>
      <c r="L43" s="17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</row>
    <row r="44" spans="1:31" s="1" customFormat="1" ht="14.45" customHeight="1" x14ac:dyDescent="0.2">
      <c r="A44" s="156"/>
      <c r="B44" s="16"/>
      <c r="C44" s="156"/>
      <c r="D44" s="156"/>
      <c r="E44" s="156"/>
      <c r="F44" s="156"/>
      <c r="G44" s="156"/>
      <c r="H44" s="156"/>
      <c r="I44" s="156"/>
      <c r="J44" s="156"/>
      <c r="K44" s="156"/>
      <c r="L44" s="17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</row>
    <row r="45" spans="1:31" ht="14.45" customHeight="1" x14ac:dyDescent="0.2">
      <c r="B45" s="13"/>
      <c r="L45" s="13"/>
    </row>
    <row r="46" spans="1:31" ht="14.45" customHeight="1" x14ac:dyDescent="0.2">
      <c r="B46" s="13"/>
      <c r="L46" s="13"/>
    </row>
    <row r="47" spans="1:31" ht="14.45" customHeight="1" x14ac:dyDescent="0.2">
      <c r="B47" s="13"/>
      <c r="L47" s="13"/>
    </row>
    <row r="48" spans="1:31" ht="14.45" customHeight="1" x14ac:dyDescent="0.2">
      <c r="B48" s="13"/>
      <c r="L48" s="13"/>
    </row>
    <row r="49" spans="1:31" s="1" customFormat="1" ht="14.45" customHeight="1" x14ac:dyDescent="0.2">
      <c r="B49" s="17"/>
      <c r="D49" s="18" t="s">
        <v>35</v>
      </c>
      <c r="E49" s="19"/>
      <c r="F49" s="19"/>
      <c r="G49" s="18" t="s">
        <v>36</v>
      </c>
      <c r="H49" s="19"/>
      <c r="I49" s="19"/>
      <c r="J49" s="19"/>
      <c r="K49" s="19"/>
      <c r="L49" s="17"/>
    </row>
    <row r="50" spans="1:31" x14ac:dyDescent="0.2">
      <c r="B50" s="13"/>
      <c r="L50" s="13"/>
    </row>
    <row r="51" spans="1:31" x14ac:dyDescent="0.2">
      <c r="B51" s="13"/>
      <c r="L51" s="13"/>
    </row>
    <row r="52" spans="1:31" x14ac:dyDescent="0.2">
      <c r="B52" s="13"/>
      <c r="L52" s="13"/>
    </row>
    <row r="53" spans="1:31" x14ac:dyDescent="0.2">
      <c r="B53" s="13"/>
      <c r="L53" s="13"/>
    </row>
    <row r="54" spans="1:31" x14ac:dyDescent="0.2">
      <c r="B54" s="13"/>
      <c r="L54" s="13"/>
    </row>
    <row r="55" spans="1:31" x14ac:dyDescent="0.2">
      <c r="B55" s="13"/>
      <c r="L55" s="13"/>
    </row>
    <row r="56" spans="1:31" x14ac:dyDescent="0.2">
      <c r="B56" s="13"/>
      <c r="L56" s="13"/>
    </row>
    <row r="57" spans="1:31" x14ac:dyDescent="0.2">
      <c r="B57" s="13"/>
      <c r="L57" s="13"/>
    </row>
    <row r="58" spans="1:31" x14ac:dyDescent="0.2">
      <c r="B58" s="13"/>
      <c r="L58" s="13"/>
    </row>
    <row r="59" spans="1:31" x14ac:dyDescent="0.2">
      <c r="B59" s="13"/>
      <c r="L59" s="13"/>
    </row>
    <row r="60" spans="1:31" s="1" customFormat="1" ht="12.75" x14ac:dyDescent="0.2">
      <c r="A60" s="156"/>
      <c r="B60" s="16"/>
      <c r="C60" s="156"/>
      <c r="D60" s="20" t="s">
        <v>37</v>
      </c>
      <c r="E60" s="149"/>
      <c r="F60" s="49" t="s">
        <v>38</v>
      </c>
      <c r="G60" s="20" t="s">
        <v>37</v>
      </c>
      <c r="H60" s="149"/>
      <c r="I60" s="149"/>
      <c r="J60" s="50" t="s">
        <v>38</v>
      </c>
      <c r="K60" s="149"/>
      <c r="L60" s="17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</row>
    <row r="61" spans="1:31" x14ac:dyDescent="0.2">
      <c r="B61" s="13"/>
      <c r="L61" s="13"/>
    </row>
    <row r="62" spans="1:31" x14ac:dyDescent="0.2">
      <c r="B62" s="13"/>
      <c r="L62" s="13"/>
    </row>
    <row r="63" spans="1:31" x14ac:dyDescent="0.2">
      <c r="B63" s="13"/>
      <c r="L63" s="13"/>
    </row>
    <row r="64" spans="1:31" s="1" customFormat="1" ht="12.75" x14ac:dyDescent="0.2">
      <c r="A64" s="156"/>
      <c r="B64" s="16"/>
      <c r="C64" s="156"/>
      <c r="D64" s="18" t="s">
        <v>39</v>
      </c>
      <c r="E64" s="21"/>
      <c r="F64" s="21"/>
      <c r="G64" s="18" t="s">
        <v>40</v>
      </c>
      <c r="H64" s="21"/>
      <c r="I64" s="21"/>
      <c r="J64" s="21"/>
      <c r="K64" s="21"/>
      <c r="L64" s="17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</row>
    <row r="65" spans="1:31" x14ac:dyDescent="0.2">
      <c r="B65" s="13"/>
      <c r="L65" s="13"/>
    </row>
    <row r="66" spans="1:31" x14ac:dyDescent="0.2">
      <c r="B66" s="13"/>
      <c r="L66" s="13"/>
    </row>
    <row r="67" spans="1:31" x14ac:dyDescent="0.2">
      <c r="B67" s="13"/>
      <c r="L67" s="13"/>
    </row>
    <row r="68" spans="1:31" x14ac:dyDescent="0.2">
      <c r="B68" s="13"/>
      <c r="L68" s="13"/>
    </row>
    <row r="69" spans="1:31" x14ac:dyDescent="0.2">
      <c r="B69" s="13"/>
      <c r="L69" s="13"/>
    </row>
    <row r="70" spans="1:31" x14ac:dyDescent="0.2">
      <c r="B70" s="13"/>
      <c r="L70" s="13"/>
    </row>
    <row r="71" spans="1:31" x14ac:dyDescent="0.2">
      <c r="B71" s="13"/>
      <c r="L71" s="13"/>
    </row>
    <row r="72" spans="1:31" x14ac:dyDescent="0.2">
      <c r="B72" s="13"/>
      <c r="L72" s="13"/>
    </row>
    <row r="73" spans="1:31" x14ac:dyDescent="0.2">
      <c r="B73" s="13"/>
      <c r="L73" s="13"/>
    </row>
    <row r="74" spans="1:31" x14ac:dyDescent="0.2">
      <c r="B74" s="13"/>
      <c r="L74" s="13"/>
    </row>
    <row r="75" spans="1:31" s="1" customFormat="1" ht="12.75" x14ac:dyDescent="0.2">
      <c r="A75" s="156"/>
      <c r="B75" s="16"/>
      <c r="C75" s="156"/>
      <c r="D75" s="20" t="s">
        <v>37</v>
      </c>
      <c r="E75" s="149"/>
      <c r="F75" s="49" t="s">
        <v>38</v>
      </c>
      <c r="G75" s="20" t="s">
        <v>37</v>
      </c>
      <c r="H75" s="149"/>
      <c r="I75" s="149"/>
      <c r="J75" s="50" t="s">
        <v>38</v>
      </c>
      <c r="K75" s="149"/>
      <c r="L75" s="17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</row>
    <row r="76" spans="1:31" s="1" customFormat="1" ht="14.45" customHeight="1" x14ac:dyDescent="0.2">
      <c r="A76" s="156"/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17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</row>
    <row r="80" spans="1:31" s="1" customFormat="1" ht="6.95" customHeight="1" x14ac:dyDescent="0.2">
      <c r="A80" s="156"/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17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</row>
    <row r="81" spans="1:31" s="1" customFormat="1" ht="24.95" customHeight="1" x14ac:dyDescent="0.2">
      <c r="A81" s="156"/>
      <c r="B81" s="16"/>
      <c r="C81" s="14" t="s">
        <v>53</v>
      </c>
      <c r="D81" s="156"/>
      <c r="E81" s="156"/>
      <c r="F81" s="156"/>
      <c r="G81" s="156"/>
      <c r="H81" s="156"/>
      <c r="I81" s="156"/>
      <c r="J81" s="156"/>
      <c r="K81" s="156"/>
      <c r="L81" s="17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</row>
    <row r="82" spans="1:31" s="1" customFormat="1" ht="6.95" customHeight="1" x14ac:dyDescent="0.2">
      <c r="A82" s="156"/>
      <c r="B82" s="16"/>
      <c r="C82" s="156"/>
      <c r="D82" s="156"/>
      <c r="E82" s="156"/>
      <c r="F82" s="156"/>
      <c r="G82" s="156"/>
      <c r="H82" s="156"/>
      <c r="I82" s="156"/>
      <c r="J82" s="156"/>
      <c r="K82" s="156"/>
      <c r="L82" s="17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</row>
    <row r="83" spans="1:31" s="1" customFormat="1" ht="12" customHeight="1" x14ac:dyDescent="0.2">
      <c r="A83" s="156"/>
      <c r="B83" s="16"/>
      <c r="C83" s="154" t="s">
        <v>6</v>
      </c>
      <c r="D83" s="156"/>
      <c r="E83" s="156"/>
      <c r="F83" s="156"/>
      <c r="G83" s="156"/>
      <c r="H83" s="156"/>
      <c r="I83" s="156"/>
      <c r="J83" s="156"/>
      <c r="K83" s="156"/>
      <c r="L83" s="17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</row>
    <row r="84" spans="1:31" s="1" customFormat="1" ht="16.5" customHeight="1" x14ac:dyDescent="0.2">
      <c r="A84" s="156"/>
      <c r="B84" s="16"/>
      <c r="C84" s="156"/>
      <c r="D84" s="156"/>
      <c r="E84" s="195" t="e">
        <f>E7</f>
        <v>#REF!</v>
      </c>
      <c r="F84" s="201"/>
      <c r="G84" s="201"/>
      <c r="H84" s="201"/>
      <c r="I84" s="156"/>
      <c r="J84" s="156"/>
      <c r="K84" s="156"/>
      <c r="L84" s="17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</row>
    <row r="85" spans="1:31" ht="12" customHeight="1" x14ac:dyDescent="0.2">
      <c r="B85" s="13"/>
      <c r="C85" s="154" t="s">
        <v>50</v>
      </c>
      <c r="L85" s="13"/>
    </row>
    <row r="86" spans="1:31" ht="16.5" customHeight="1" x14ac:dyDescent="0.2">
      <c r="B86" s="13"/>
      <c r="E86" s="195" t="s">
        <v>51</v>
      </c>
      <c r="F86" s="196"/>
      <c r="G86" s="196"/>
      <c r="H86" s="196"/>
      <c r="L86" s="13"/>
    </row>
    <row r="87" spans="1:31" ht="12" customHeight="1" x14ac:dyDescent="0.2">
      <c r="B87" s="13"/>
      <c r="C87" s="154" t="s">
        <v>52</v>
      </c>
      <c r="L87" s="13"/>
    </row>
    <row r="88" spans="1:31" s="1" customFormat="1" ht="16.5" customHeight="1" x14ac:dyDescent="0.2">
      <c r="A88" s="156"/>
      <c r="B88" s="16"/>
      <c r="C88" s="156"/>
      <c r="D88" s="156"/>
      <c r="E88" s="197" t="s">
        <v>201</v>
      </c>
      <c r="F88" s="198"/>
      <c r="G88" s="198"/>
      <c r="H88" s="198"/>
      <c r="I88" s="156"/>
      <c r="J88" s="156"/>
      <c r="K88" s="156"/>
      <c r="L88" s="17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31" s="1" customFormat="1" ht="12" customHeight="1" x14ac:dyDescent="0.2">
      <c r="A89" s="156"/>
      <c r="B89" s="16"/>
      <c r="C89" s="154" t="s">
        <v>202</v>
      </c>
      <c r="D89" s="156"/>
      <c r="E89" s="156"/>
      <c r="F89" s="156"/>
      <c r="G89" s="156"/>
      <c r="H89" s="156"/>
      <c r="I89" s="156"/>
      <c r="J89" s="156"/>
      <c r="K89" s="156"/>
      <c r="L89" s="17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31" s="1" customFormat="1" ht="16.5" customHeight="1" x14ac:dyDescent="0.2">
      <c r="A90" s="156"/>
      <c r="B90" s="16"/>
      <c r="C90" s="156"/>
      <c r="D90" s="156"/>
      <c r="E90" s="199" t="str">
        <f>E13</f>
        <v>00004 - DSO 01.1.1d Kanalizační odbočení Stoky A3-Oa64a(2,01m)</v>
      </c>
      <c r="F90" s="198"/>
      <c r="G90" s="198"/>
      <c r="H90" s="198"/>
      <c r="I90" s="156"/>
      <c r="J90" s="156"/>
      <c r="K90" s="156"/>
      <c r="L90" s="17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31" s="1" customFormat="1" ht="6.95" customHeight="1" x14ac:dyDescent="0.2">
      <c r="A91" s="156"/>
      <c r="B91" s="16"/>
      <c r="C91" s="156"/>
      <c r="D91" s="156"/>
      <c r="E91" s="156"/>
      <c r="F91" s="156"/>
      <c r="G91" s="156"/>
      <c r="H91" s="156"/>
      <c r="I91" s="156"/>
      <c r="J91" s="156"/>
      <c r="K91" s="156"/>
      <c r="L91" s="17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31" s="1" customFormat="1" ht="12" customHeight="1" x14ac:dyDescent="0.2">
      <c r="A92" s="156"/>
      <c r="B92" s="16"/>
      <c r="C92" s="154" t="s">
        <v>9</v>
      </c>
      <c r="D92" s="156"/>
      <c r="E92" s="156"/>
      <c r="F92" s="147" t="str">
        <f>F16</f>
        <v xml:space="preserve"> </v>
      </c>
      <c r="G92" s="156"/>
      <c r="H92" s="156"/>
      <c r="I92" s="154" t="s">
        <v>11</v>
      </c>
      <c r="J92" s="153" t="e">
        <f>IF(J16="","",J16)</f>
        <v>#REF!</v>
      </c>
      <c r="K92" s="156"/>
      <c r="L92" s="17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31" s="1" customFormat="1" ht="6.95" customHeight="1" x14ac:dyDescent="0.2">
      <c r="A93" s="156"/>
      <c r="B93" s="16"/>
      <c r="C93" s="156"/>
      <c r="D93" s="156"/>
      <c r="E93" s="156"/>
      <c r="F93" s="156"/>
      <c r="G93" s="156"/>
      <c r="H93" s="156"/>
      <c r="I93" s="156"/>
      <c r="J93" s="156"/>
      <c r="K93" s="156"/>
      <c r="L93" s="17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31" s="1" customFormat="1" ht="40.15" customHeight="1" x14ac:dyDescent="0.2">
      <c r="A94" s="156"/>
      <c r="B94" s="16"/>
      <c r="C94" s="154" t="s">
        <v>12</v>
      </c>
      <c r="D94" s="156"/>
      <c r="E94" s="156"/>
      <c r="F94" s="147" t="str">
        <f>E19</f>
        <v>Město Petřvald</v>
      </c>
      <c r="G94" s="156"/>
      <c r="H94" s="156"/>
      <c r="I94" s="154" t="s">
        <v>17</v>
      </c>
      <c r="J94" s="148" t="str">
        <f>E25</f>
        <v>Sweco Hydroprojekt a.s., divize Morava</v>
      </c>
      <c r="K94" s="156"/>
      <c r="L94" s="17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</row>
    <row r="95" spans="1:31" s="1" customFormat="1" ht="15.2" customHeight="1" x14ac:dyDescent="0.2">
      <c r="A95" s="156"/>
      <c r="B95" s="16"/>
      <c r="C95" s="154" t="s">
        <v>16</v>
      </c>
      <c r="D95" s="156"/>
      <c r="E95" s="156"/>
      <c r="F95" s="147" t="e">
        <f>IF(E22="","",E22)</f>
        <v>#REF!</v>
      </c>
      <c r="G95" s="156"/>
      <c r="H95" s="156"/>
      <c r="I95" s="154" t="s">
        <v>20</v>
      </c>
      <c r="J95" s="148" t="e">
        <f>E28</f>
        <v>#REF!</v>
      </c>
      <c r="K95" s="156"/>
      <c r="L95" s="17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</row>
    <row r="96" spans="1:31" s="1" customFormat="1" ht="10.35" customHeight="1" x14ac:dyDescent="0.2">
      <c r="A96" s="156"/>
      <c r="B96" s="16"/>
      <c r="C96" s="156"/>
      <c r="D96" s="156"/>
      <c r="E96" s="156"/>
      <c r="F96" s="156"/>
      <c r="G96" s="156"/>
      <c r="H96" s="156"/>
      <c r="I96" s="156"/>
      <c r="J96" s="156"/>
      <c r="K96" s="156"/>
      <c r="L96" s="17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</row>
    <row r="97" spans="1:47" s="1" customFormat="1" ht="29.25" customHeight="1" x14ac:dyDescent="0.2">
      <c r="A97" s="156"/>
      <c r="B97" s="16"/>
      <c r="C97" s="51" t="s">
        <v>54</v>
      </c>
      <c r="D97" s="43"/>
      <c r="E97" s="43"/>
      <c r="F97" s="43"/>
      <c r="G97" s="43"/>
      <c r="H97" s="43"/>
      <c r="I97" s="43"/>
      <c r="J97" s="52" t="s">
        <v>55</v>
      </c>
      <c r="K97" s="43"/>
      <c r="L97" s="17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</row>
    <row r="98" spans="1:47" s="1" customFormat="1" ht="10.35" customHeight="1" x14ac:dyDescent="0.2">
      <c r="A98" s="156"/>
      <c r="B98" s="16"/>
      <c r="C98" s="156"/>
      <c r="D98" s="156"/>
      <c r="E98" s="156"/>
      <c r="F98" s="156"/>
      <c r="G98" s="156"/>
      <c r="H98" s="156"/>
      <c r="I98" s="156"/>
      <c r="J98" s="156"/>
      <c r="K98" s="156"/>
      <c r="L98" s="17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</row>
    <row r="99" spans="1:47" s="1" customFormat="1" ht="22.9" customHeight="1" x14ac:dyDescent="0.2">
      <c r="A99" s="156"/>
      <c r="B99" s="16"/>
      <c r="C99" s="53" t="s">
        <v>56</v>
      </c>
      <c r="D99" s="156"/>
      <c r="E99" s="156"/>
      <c r="F99" s="156"/>
      <c r="G99" s="156"/>
      <c r="H99" s="156"/>
      <c r="I99" s="156"/>
      <c r="J99" s="152">
        <f>J131</f>
        <v>26181.030000000002</v>
      </c>
      <c r="K99" s="156"/>
      <c r="L99" s="17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U99" s="10" t="s">
        <v>57</v>
      </c>
    </row>
    <row r="100" spans="1:47" s="3" customFormat="1" ht="24.95" customHeight="1" x14ac:dyDescent="0.2">
      <c r="B100" s="54"/>
      <c r="D100" s="55" t="s">
        <v>58</v>
      </c>
      <c r="E100" s="56"/>
      <c r="F100" s="56"/>
      <c r="G100" s="56"/>
      <c r="H100" s="56"/>
      <c r="I100" s="56"/>
      <c r="J100" s="57">
        <f>J132</f>
        <v>26181.030000000002</v>
      </c>
      <c r="L100" s="54"/>
    </row>
    <row r="101" spans="1:47" s="151" customFormat="1" ht="19.899999999999999" customHeight="1" x14ac:dyDescent="0.2">
      <c r="B101" s="58"/>
      <c r="D101" s="59" t="s">
        <v>59</v>
      </c>
      <c r="E101" s="60"/>
      <c r="F101" s="60"/>
      <c r="G101" s="60"/>
      <c r="H101" s="60"/>
      <c r="I101" s="60"/>
      <c r="J101" s="61">
        <f>J133</f>
        <v>10570.82</v>
      </c>
      <c r="L101" s="58"/>
    </row>
    <row r="102" spans="1:47" s="151" customFormat="1" ht="19.899999999999999" customHeight="1" x14ac:dyDescent="0.2">
      <c r="B102" s="58"/>
      <c r="D102" s="59" t="s">
        <v>206</v>
      </c>
      <c r="E102" s="60"/>
      <c r="F102" s="60"/>
      <c r="G102" s="60"/>
      <c r="H102" s="60"/>
      <c r="I102" s="60"/>
      <c r="J102" s="61">
        <f>J232</f>
        <v>530.78</v>
      </c>
      <c r="L102" s="58"/>
    </row>
    <row r="103" spans="1:47" s="151" customFormat="1" ht="19.899999999999999" customHeight="1" x14ac:dyDescent="0.2">
      <c r="B103" s="58"/>
      <c r="D103" s="59" t="s">
        <v>207</v>
      </c>
      <c r="E103" s="60"/>
      <c r="F103" s="60"/>
      <c r="G103" s="60"/>
      <c r="H103" s="60"/>
      <c r="I103" s="60"/>
      <c r="J103" s="61">
        <f>J234</f>
        <v>861.56999999999994</v>
      </c>
      <c r="L103" s="58"/>
    </row>
    <row r="104" spans="1:47" s="151" customFormat="1" ht="19.899999999999999" customHeight="1" x14ac:dyDescent="0.2">
      <c r="B104" s="58"/>
      <c r="D104" s="59" t="s">
        <v>208</v>
      </c>
      <c r="E104" s="60"/>
      <c r="F104" s="60"/>
      <c r="G104" s="60"/>
      <c r="H104" s="60"/>
      <c r="I104" s="60"/>
      <c r="J104" s="61">
        <f>J251</f>
        <v>1329.1200000000001</v>
      </c>
      <c r="L104" s="58"/>
    </row>
    <row r="105" spans="1:47" s="151" customFormat="1" ht="19.899999999999999" customHeight="1" x14ac:dyDescent="0.2">
      <c r="B105" s="58"/>
      <c r="D105" s="59" t="s">
        <v>209</v>
      </c>
      <c r="E105" s="60"/>
      <c r="F105" s="60"/>
      <c r="G105" s="60"/>
      <c r="H105" s="60"/>
      <c r="I105" s="60"/>
      <c r="J105" s="61">
        <f>J262</f>
        <v>12111.44</v>
      </c>
      <c r="L105" s="58"/>
    </row>
    <row r="106" spans="1:47" s="151" customFormat="1" ht="19.899999999999999" customHeight="1" x14ac:dyDescent="0.2">
      <c r="B106" s="58"/>
      <c r="D106" s="59" t="s">
        <v>211</v>
      </c>
      <c r="E106" s="60"/>
      <c r="F106" s="60"/>
      <c r="G106" s="60"/>
      <c r="H106" s="60"/>
      <c r="I106" s="60"/>
      <c r="J106" s="61">
        <f>J296</f>
        <v>596.33999999999992</v>
      </c>
      <c r="L106" s="58"/>
    </row>
    <row r="107" spans="1:47" s="151" customFormat="1" ht="19.899999999999999" customHeight="1" x14ac:dyDescent="0.2">
      <c r="B107" s="58"/>
      <c r="D107" s="59" t="s">
        <v>135</v>
      </c>
      <c r="E107" s="60"/>
      <c r="F107" s="60"/>
      <c r="G107" s="60"/>
      <c r="H107" s="60"/>
      <c r="I107" s="60"/>
      <c r="J107" s="61">
        <f>J313</f>
        <v>180.96</v>
      </c>
      <c r="L107" s="58"/>
    </row>
    <row r="108" spans="1:47" s="1" customFormat="1" ht="21.75" customHeight="1" x14ac:dyDescent="0.2">
      <c r="A108" s="156"/>
      <c r="B108" s="16"/>
      <c r="C108" s="156"/>
      <c r="D108" s="156"/>
      <c r="E108" s="156"/>
      <c r="F108" s="156"/>
      <c r="G108" s="156"/>
      <c r="H108" s="156"/>
      <c r="I108" s="156"/>
      <c r="J108" s="156"/>
      <c r="K108" s="156"/>
      <c r="L108" s="17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</row>
    <row r="109" spans="1:47" s="1" customFormat="1" ht="6.95" customHeight="1" x14ac:dyDescent="0.2">
      <c r="A109" s="156"/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17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</row>
    <row r="113" spans="1:31" s="1" customFormat="1" ht="6.95" customHeight="1" x14ac:dyDescent="0.2">
      <c r="A113" s="156"/>
      <c r="B113" s="24"/>
      <c r="C113" s="25"/>
      <c r="D113" s="25"/>
      <c r="E113" s="25"/>
      <c r="F113" s="25"/>
      <c r="G113" s="25"/>
      <c r="H113" s="25"/>
      <c r="I113" s="25"/>
      <c r="J113" s="25"/>
      <c r="K113" s="25"/>
      <c r="L113" s="17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</row>
    <row r="114" spans="1:31" s="1" customFormat="1" ht="24.95" customHeight="1" x14ac:dyDescent="0.2">
      <c r="A114" s="156"/>
      <c r="B114" s="16"/>
      <c r="C114" s="14" t="s">
        <v>60</v>
      </c>
      <c r="D114" s="156"/>
      <c r="E114" s="156"/>
      <c r="F114" s="156"/>
      <c r="G114" s="156"/>
      <c r="H114" s="156"/>
      <c r="I114" s="156"/>
      <c r="J114" s="156"/>
      <c r="K114" s="156"/>
      <c r="L114" s="17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</row>
    <row r="115" spans="1:31" s="1" customFormat="1" ht="6.95" customHeight="1" x14ac:dyDescent="0.2">
      <c r="A115" s="156"/>
      <c r="B115" s="16"/>
      <c r="C115" s="156"/>
      <c r="D115" s="156"/>
      <c r="E115" s="156"/>
      <c r="F115" s="156"/>
      <c r="G115" s="156"/>
      <c r="H115" s="156"/>
      <c r="I115" s="156"/>
      <c r="J115" s="156"/>
      <c r="K115" s="156"/>
      <c r="L115" s="17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31" s="1" customFormat="1" ht="12" customHeight="1" x14ac:dyDescent="0.2">
      <c r="A116" s="156"/>
      <c r="B116" s="16"/>
      <c r="C116" s="154" t="s">
        <v>6</v>
      </c>
      <c r="D116" s="156"/>
      <c r="E116" s="156"/>
      <c r="F116" s="156"/>
      <c r="G116" s="156"/>
      <c r="H116" s="156"/>
      <c r="I116" s="156"/>
      <c r="J116" s="156"/>
      <c r="K116" s="156"/>
      <c r="L116" s="17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31" s="1" customFormat="1" ht="16.5" customHeight="1" x14ac:dyDescent="0.2">
      <c r="A117" s="156"/>
      <c r="B117" s="16"/>
      <c r="C117" s="156"/>
      <c r="D117" s="156"/>
      <c r="E117" s="195" t="e">
        <f>E7</f>
        <v>#REF!</v>
      </c>
      <c r="F117" s="201"/>
      <c r="G117" s="201"/>
      <c r="H117" s="201"/>
      <c r="I117" s="156"/>
      <c r="J117" s="156"/>
      <c r="K117" s="156"/>
      <c r="L117" s="17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31" ht="12" customHeight="1" x14ac:dyDescent="0.2">
      <c r="B118" s="13"/>
      <c r="C118" s="154" t="s">
        <v>50</v>
      </c>
      <c r="L118" s="13"/>
    </row>
    <row r="119" spans="1:31" ht="16.5" customHeight="1" x14ac:dyDescent="0.2">
      <c r="B119" s="13"/>
      <c r="E119" s="195" t="s">
        <v>51</v>
      </c>
      <c r="F119" s="196"/>
      <c r="G119" s="196"/>
      <c r="H119" s="196"/>
      <c r="L119" s="13"/>
    </row>
    <row r="120" spans="1:31" ht="12" customHeight="1" x14ac:dyDescent="0.2">
      <c r="B120" s="13"/>
      <c r="C120" s="154" t="s">
        <v>52</v>
      </c>
      <c r="L120" s="13"/>
    </row>
    <row r="121" spans="1:31" s="1" customFormat="1" ht="16.5" customHeight="1" x14ac:dyDescent="0.2">
      <c r="A121" s="156"/>
      <c r="B121" s="16"/>
      <c r="C121" s="156"/>
      <c r="D121" s="156"/>
      <c r="E121" s="197" t="s">
        <v>201</v>
      </c>
      <c r="F121" s="198"/>
      <c r="G121" s="198"/>
      <c r="H121" s="198"/>
      <c r="I121" s="156"/>
      <c r="J121" s="156"/>
      <c r="K121" s="156"/>
      <c r="L121" s="17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pans="1:31" s="1" customFormat="1" ht="12" customHeight="1" x14ac:dyDescent="0.2">
      <c r="A122" s="156"/>
      <c r="B122" s="16"/>
      <c r="C122" s="154" t="s">
        <v>202</v>
      </c>
      <c r="D122" s="156"/>
      <c r="E122" s="156"/>
      <c r="F122" s="156"/>
      <c r="G122" s="156"/>
      <c r="H122" s="156"/>
      <c r="I122" s="156"/>
      <c r="J122" s="156"/>
      <c r="K122" s="156"/>
      <c r="L122" s="17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31" s="1" customFormat="1" ht="16.5" customHeight="1" x14ac:dyDescent="0.2">
      <c r="A123" s="156"/>
      <c r="B123" s="16"/>
      <c r="C123" s="156"/>
      <c r="D123" s="156"/>
      <c r="E123" s="199" t="str">
        <f>E13</f>
        <v>00004 - DSO 01.1.1d Kanalizační odbočení Stoky A3-Oa64a(2,01m)</v>
      </c>
      <c r="F123" s="198"/>
      <c r="G123" s="198"/>
      <c r="H123" s="198"/>
      <c r="I123" s="156"/>
      <c r="J123" s="156"/>
      <c r="K123" s="156"/>
      <c r="L123" s="17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pans="1:31" s="1" customFormat="1" ht="6.95" customHeight="1" x14ac:dyDescent="0.2">
      <c r="A124" s="156"/>
      <c r="B124" s="16"/>
      <c r="C124" s="156"/>
      <c r="D124" s="156"/>
      <c r="E124" s="156"/>
      <c r="F124" s="156"/>
      <c r="G124" s="156"/>
      <c r="H124" s="156"/>
      <c r="I124" s="156"/>
      <c r="J124" s="156"/>
      <c r="K124" s="156"/>
      <c r="L124" s="17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pans="1:31" s="1" customFormat="1" ht="12" customHeight="1" x14ac:dyDescent="0.2">
      <c r="A125" s="156"/>
      <c r="B125" s="16"/>
      <c r="C125" s="154" t="s">
        <v>9</v>
      </c>
      <c r="D125" s="156"/>
      <c r="E125" s="156"/>
      <c r="F125" s="147" t="str">
        <f>F16</f>
        <v xml:space="preserve"> </v>
      </c>
      <c r="G125" s="156"/>
      <c r="H125" s="156"/>
      <c r="I125" s="154" t="s">
        <v>11</v>
      </c>
      <c r="J125" s="153" t="e">
        <f>IF(J16="","",J16)</f>
        <v>#REF!</v>
      </c>
      <c r="K125" s="156"/>
      <c r="L125" s="17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31" s="1" customFormat="1" ht="6.95" customHeight="1" x14ac:dyDescent="0.2">
      <c r="A126" s="156"/>
      <c r="B126" s="16"/>
      <c r="C126" s="156"/>
      <c r="D126" s="156"/>
      <c r="E126" s="156"/>
      <c r="F126" s="156"/>
      <c r="G126" s="156"/>
      <c r="H126" s="156"/>
      <c r="I126" s="156"/>
      <c r="J126" s="156"/>
      <c r="K126" s="156"/>
      <c r="L126" s="17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pans="1:31" s="1" customFormat="1" ht="40.15" customHeight="1" x14ac:dyDescent="0.2">
      <c r="A127" s="156"/>
      <c r="B127" s="16"/>
      <c r="C127" s="154" t="s">
        <v>12</v>
      </c>
      <c r="D127" s="156"/>
      <c r="E127" s="156"/>
      <c r="F127" s="147" t="str">
        <f>E19</f>
        <v>Město Petřvald</v>
      </c>
      <c r="G127" s="156"/>
      <c r="H127" s="156"/>
      <c r="I127" s="154" t="s">
        <v>17</v>
      </c>
      <c r="J127" s="148" t="str">
        <f>E25</f>
        <v>Sweco Hydroprojekt a.s., divize Morava</v>
      </c>
      <c r="K127" s="156"/>
      <c r="L127" s="17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pans="1:31" s="1" customFormat="1" ht="15.2" customHeight="1" x14ac:dyDescent="0.2">
      <c r="A128" s="156"/>
      <c r="B128" s="16"/>
      <c r="C128" s="154" t="s">
        <v>16</v>
      </c>
      <c r="D128" s="156"/>
      <c r="E128" s="156"/>
      <c r="F128" s="147" t="e">
        <f>IF(E22="","",E22)</f>
        <v>#REF!</v>
      </c>
      <c r="G128" s="156"/>
      <c r="H128" s="156"/>
      <c r="I128" s="154" t="s">
        <v>20</v>
      </c>
      <c r="J128" s="148" t="e">
        <f>E28</f>
        <v>#REF!</v>
      </c>
      <c r="K128" s="156"/>
      <c r="L128" s="17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pans="1:65" s="1" customFormat="1" ht="10.35" customHeight="1" x14ac:dyDescent="0.2">
      <c r="A129" s="156"/>
      <c r="B129" s="16"/>
      <c r="C129" s="156"/>
      <c r="D129" s="156"/>
      <c r="E129" s="156"/>
      <c r="F129" s="156"/>
      <c r="G129" s="156"/>
      <c r="H129" s="156"/>
      <c r="I129" s="156"/>
      <c r="J129" s="156"/>
      <c r="K129" s="156"/>
      <c r="L129" s="17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</row>
    <row r="130" spans="1:65" s="4" customFormat="1" ht="29.25" customHeight="1" x14ac:dyDescent="0.2">
      <c r="A130" s="62"/>
      <c r="B130" s="63"/>
      <c r="C130" s="64" t="s">
        <v>61</v>
      </c>
      <c r="D130" s="65" t="s">
        <v>43</v>
      </c>
      <c r="E130" s="65" t="s">
        <v>41</v>
      </c>
      <c r="F130" s="65" t="s">
        <v>42</v>
      </c>
      <c r="G130" s="65" t="s">
        <v>62</v>
      </c>
      <c r="H130" s="65" t="s">
        <v>63</v>
      </c>
      <c r="I130" s="65" t="s">
        <v>64</v>
      </c>
      <c r="J130" s="65" t="s">
        <v>55</v>
      </c>
      <c r="K130" s="66" t="s">
        <v>65</v>
      </c>
      <c r="L130" s="67"/>
      <c r="M130" s="30" t="s">
        <v>0</v>
      </c>
      <c r="N130" s="31" t="s">
        <v>26</v>
      </c>
      <c r="O130" s="31" t="s">
        <v>66</v>
      </c>
      <c r="P130" s="31" t="s">
        <v>67</v>
      </c>
      <c r="Q130" s="31" t="s">
        <v>68</v>
      </c>
      <c r="R130" s="31" t="s">
        <v>69</v>
      </c>
      <c r="S130" s="31" t="s">
        <v>70</v>
      </c>
      <c r="T130" s="32" t="s">
        <v>71</v>
      </c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</row>
    <row r="131" spans="1:65" s="1" customFormat="1" ht="22.9" customHeight="1" x14ac:dyDescent="0.25">
      <c r="A131" s="156"/>
      <c r="B131" s="16"/>
      <c r="C131" s="35" t="s">
        <v>72</v>
      </c>
      <c r="D131" s="156"/>
      <c r="E131" s="156"/>
      <c r="F131" s="156"/>
      <c r="G131" s="156" t="s">
        <v>212</v>
      </c>
      <c r="H131" s="156"/>
      <c r="I131" s="156"/>
      <c r="J131" s="68">
        <f>BK131</f>
        <v>26181.030000000002</v>
      </c>
      <c r="K131" s="156"/>
      <c r="L131" s="16"/>
      <c r="M131" s="33"/>
      <c r="N131" s="26"/>
      <c r="O131" s="34"/>
      <c r="P131" s="69">
        <f>P132</f>
        <v>0</v>
      </c>
      <c r="Q131" s="34"/>
      <c r="R131" s="69">
        <f>R132</f>
        <v>8.2468670600000014</v>
      </c>
      <c r="S131" s="34"/>
      <c r="T131" s="70">
        <f>T132</f>
        <v>2.2757219999999996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T131" s="10" t="s">
        <v>44</v>
      </c>
      <c r="AU131" s="10" t="s">
        <v>57</v>
      </c>
      <c r="BK131" s="71">
        <f>BK132</f>
        <v>26181.030000000002</v>
      </c>
    </row>
    <row r="132" spans="1:65" s="5" customFormat="1" ht="25.9" customHeight="1" x14ac:dyDescent="0.2">
      <c r="B132" s="72"/>
      <c r="D132" s="73" t="s">
        <v>44</v>
      </c>
      <c r="E132" s="74" t="s">
        <v>73</v>
      </c>
      <c r="F132" s="74" t="s">
        <v>74</v>
      </c>
      <c r="G132" s="5" t="s">
        <v>212</v>
      </c>
      <c r="I132" s="75"/>
      <c r="J132" s="76">
        <f>BK132</f>
        <v>26181.030000000002</v>
      </c>
      <c r="L132" s="72"/>
      <c r="M132" s="77"/>
      <c r="N132" s="78"/>
      <c r="O132" s="78"/>
      <c r="P132" s="79">
        <f>P133+P232+P234+P251+P262+P296+P313</f>
        <v>0</v>
      </c>
      <c r="Q132" s="78"/>
      <c r="R132" s="79">
        <f>R133+R232+R234+R251+R262+R296+R313</f>
        <v>8.2468670600000014</v>
      </c>
      <c r="S132" s="78"/>
      <c r="T132" s="80">
        <f>T133+T232+T234+T251+T262+T296+T313</f>
        <v>2.2757219999999996</v>
      </c>
      <c r="AR132" s="73" t="s">
        <v>46</v>
      </c>
      <c r="AT132" s="81" t="s">
        <v>44</v>
      </c>
      <c r="AU132" s="81" t="s">
        <v>45</v>
      </c>
      <c r="AY132" s="73" t="s">
        <v>75</v>
      </c>
      <c r="BK132" s="82">
        <f>BK133+BK232+BK234+BK251+BK262+BK296+BK313</f>
        <v>26181.030000000002</v>
      </c>
    </row>
    <row r="133" spans="1:65" s="5" customFormat="1" ht="22.9" customHeight="1" x14ac:dyDescent="0.2">
      <c r="B133" s="72"/>
      <c r="D133" s="73" t="s">
        <v>44</v>
      </c>
      <c r="E133" s="83" t="s">
        <v>46</v>
      </c>
      <c r="F133" s="83" t="s">
        <v>76</v>
      </c>
      <c r="G133" s="5" t="s">
        <v>212</v>
      </c>
      <c r="I133" s="75"/>
      <c r="J133" s="84">
        <f>BK133</f>
        <v>10570.82</v>
      </c>
      <c r="L133" s="72"/>
      <c r="M133" s="77"/>
      <c r="N133" s="78"/>
      <c r="O133" s="78"/>
      <c r="P133" s="79">
        <f>SUM(P134:P231)</f>
        <v>0</v>
      </c>
      <c r="Q133" s="78"/>
      <c r="R133" s="79">
        <f>SUM(R134:R231)</f>
        <v>7.6952179600000008</v>
      </c>
      <c r="S133" s="78"/>
      <c r="T133" s="80">
        <f>SUM(T134:T231)</f>
        <v>2.2757219999999996</v>
      </c>
      <c r="AR133" s="73" t="s">
        <v>46</v>
      </c>
      <c r="AT133" s="81" t="s">
        <v>44</v>
      </c>
      <c r="AU133" s="81" t="s">
        <v>46</v>
      </c>
      <c r="AY133" s="73" t="s">
        <v>75</v>
      </c>
      <c r="BK133" s="82">
        <f>SUM(BK134:BK231)</f>
        <v>10570.82</v>
      </c>
    </row>
    <row r="134" spans="1:65" s="1" customFormat="1" ht="24.2" customHeight="1" x14ac:dyDescent="0.2">
      <c r="A134" s="156"/>
      <c r="B134" s="85"/>
      <c r="C134" s="86" t="s">
        <v>46</v>
      </c>
      <c r="D134" s="86" t="s">
        <v>78</v>
      </c>
      <c r="E134" s="87" t="s">
        <v>146</v>
      </c>
      <c r="F134" s="88" t="s">
        <v>147</v>
      </c>
      <c r="G134" s="89" t="s">
        <v>100</v>
      </c>
      <c r="H134" s="90">
        <v>1.8089999999999999</v>
      </c>
      <c r="I134" s="91">
        <v>68.767172335543137</v>
      </c>
      <c r="J134" s="92">
        <f>ROUND(I134*H134,2)</f>
        <v>124.4</v>
      </c>
      <c r="K134" s="88" t="s">
        <v>0</v>
      </c>
      <c r="L134" s="16"/>
      <c r="M134" s="93" t="s">
        <v>0</v>
      </c>
      <c r="N134" s="94" t="s">
        <v>27</v>
      </c>
      <c r="O134" s="27"/>
      <c r="P134" s="95">
        <f>O134*H134</f>
        <v>0</v>
      </c>
      <c r="Q134" s="95">
        <v>0</v>
      </c>
      <c r="R134" s="95">
        <f>Q134*H134</f>
        <v>0</v>
      </c>
      <c r="S134" s="95">
        <v>0.57999999999999996</v>
      </c>
      <c r="T134" s="96">
        <f>S134*H134</f>
        <v>1.0492199999999998</v>
      </c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R134" s="97" t="s">
        <v>83</v>
      </c>
      <c r="AT134" s="97" t="s">
        <v>78</v>
      </c>
      <c r="AU134" s="97" t="s">
        <v>47</v>
      </c>
      <c r="AY134" s="10" t="s">
        <v>75</v>
      </c>
      <c r="BE134" s="98">
        <f>IF(N134="základní",J134,0)</f>
        <v>124.4</v>
      </c>
      <c r="BF134" s="98">
        <f>IF(N134="snížená",J134,0)</f>
        <v>0</v>
      </c>
      <c r="BG134" s="98">
        <f>IF(N134="zákl. přenesená",J134,0)</f>
        <v>0</v>
      </c>
      <c r="BH134" s="98">
        <f>IF(N134="sníž. přenesená",J134,0)</f>
        <v>0</v>
      </c>
      <c r="BI134" s="98">
        <f>IF(N134="nulová",J134,0)</f>
        <v>0</v>
      </c>
      <c r="BJ134" s="10" t="s">
        <v>46</v>
      </c>
      <c r="BK134" s="98">
        <f>ROUND(I134*H134,2)</f>
        <v>124.4</v>
      </c>
      <c r="BL134" s="10" t="s">
        <v>83</v>
      </c>
      <c r="BM134" s="97" t="s">
        <v>213</v>
      </c>
    </row>
    <row r="135" spans="1:65" s="1" customFormat="1" ht="39" x14ac:dyDescent="0.2">
      <c r="A135" s="156"/>
      <c r="B135" s="16"/>
      <c r="C135" s="156"/>
      <c r="D135" s="99" t="s">
        <v>84</v>
      </c>
      <c r="E135" s="156"/>
      <c r="F135" s="100" t="s">
        <v>148</v>
      </c>
      <c r="G135" s="156"/>
      <c r="H135" s="156"/>
      <c r="I135" s="101"/>
      <c r="J135" s="156"/>
      <c r="K135" s="156"/>
      <c r="L135" s="16"/>
      <c r="M135" s="102"/>
      <c r="N135" s="103"/>
      <c r="O135" s="27"/>
      <c r="P135" s="27"/>
      <c r="Q135" s="27"/>
      <c r="R135" s="27"/>
      <c r="S135" s="27"/>
      <c r="T135" s="28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T135" s="10" t="s">
        <v>84</v>
      </c>
      <c r="AU135" s="10" t="s">
        <v>47</v>
      </c>
    </row>
    <row r="136" spans="1:65" s="1" customFormat="1" x14ac:dyDescent="0.2">
      <c r="A136" s="170"/>
      <c r="B136" s="16"/>
      <c r="C136" s="170"/>
      <c r="D136" s="99"/>
      <c r="E136" s="170"/>
      <c r="F136" s="100" t="s">
        <v>468</v>
      </c>
      <c r="G136" s="170"/>
      <c r="H136" s="170">
        <f>2.01-0.1*2.01</f>
        <v>1.8089999999999997</v>
      </c>
      <c r="I136" s="101"/>
      <c r="J136" s="170"/>
      <c r="K136" s="170"/>
      <c r="L136" s="16"/>
      <c r="M136" s="102"/>
      <c r="N136" s="103"/>
      <c r="O136" s="27"/>
      <c r="P136" s="27"/>
      <c r="Q136" s="27"/>
      <c r="R136" s="27"/>
      <c r="S136" s="27"/>
      <c r="T136" s="28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T136" s="10"/>
      <c r="AU136" s="10"/>
    </row>
    <row r="137" spans="1:65" s="1" customFormat="1" ht="24.2" customHeight="1" x14ac:dyDescent="0.2">
      <c r="A137" s="156"/>
      <c r="B137" s="85"/>
      <c r="C137" s="86" t="s">
        <v>47</v>
      </c>
      <c r="D137" s="86" t="s">
        <v>78</v>
      </c>
      <c r="E137" s="87" t="s">
        <v>149</v>
      </c>
      <c r="F137" s="88" t="s">
        <v>150</v>
      </c>
      <c r="G137" s="89" t="s">
        <v>100</v>
      </c>
      <c r="H137" s="90">
        <v>1.8089999999999999</v>
      </c>
      <c r="I137" s="91">
        <v>68.767172335543137</v>
      </c>
      <c r="J137" s="92">
        <f>ROUND(I137*H137,2)</f>
        <v>124.4</v>
      </c>
      <c r="K137" s="88" t="s">
        <v>82</v>
      </c>
      <c r="L137" s="16"/>
      <c r="M137" s="93" t="s">
        <v>0</v>
      </c>
      <c r="N137" s="94" t="s">
        <v>27</v>
      </c>
      <c r="O137" s="27"/>
      <c r="P137" s="95">
        <f>O137*H137</f>
        <v>0</v>
      </c>
      <c r="Q137" s="95">
        <v>0</v>
      </c>
      <c r="R137" s="95">
        <f>Q137*H137</f>
        <v>0</v>
      </c>
      <c r="S137" s="95">
        <v>0.57999999999999996</v>
      </c>
      <c r="T137" s="96">
        <f>S137*H137</f>
        <v>1.0492199999999998</v>
      </c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R137" s="97" t="s">
        <v>83</v>
      </c>
      <c r="AT137" s="97" t="s">
        <v>78</v>
      </c>
      <c r="AU137" s="97" t="s">
        <v>47</v>
      </c>
      <c r="AY137" s="10" t="s">
        <v>75</v>
      </c>
      <c r="BE137" s="98">
        <f>IF(N137="základní",J137,0)</f>
        <v>124.4</v>
      </c>
      <c r="BF137" s="98">
        <f>IF(N137="snížená",J137,0)</f>
        <v>0</v>
      </c>
      <c r="BG137" s="98">
        <f>IF(N137="zákl. přenesená",J137,0)</f>
        <v>0</v>
      </c>
      <c r="BH137" s="98">
        <f>IF(N137="sníž. přenesená",J137,0)</f>
        <v>0</v>
      </c>
      <c r="BI137" s="98">
        <f>IF(N137="nulová",J137,0)</f>
        <v>0</v>
      </c>
      <c r="BJ137" s="10" t="s">
        <v>46</v>
      </c>
      <c r="BK137" s="98">
        <f>ROUND(I137*H137,2)</f>
        <v>124.4</v>
      </c>
      <c r="BL137" s="10" t="s">
        <v>83</v>
      </c>
      <c r="BM137" s="97" t="s">
        <v>214</v>
      </c>
    </row>
    <row r="138" spans="1:65" s="1" customFormat="1" ht="39" x14ac:dyDescent="0.2">
      <c r="A138" s="156"/>
      <c r="B138" s="16"/>
      <c r="C138" s="156"/>
      <c r="D138" s="99" t="s">
        <v>84</v>
      </c>
      <c r="E138" s="156"/>
      <c r="F138" s="100" t="s">
        <v>148</v>
      </c>
      <c r="G138" s="156"/>
      <c r="H138" s="156"/>
      <c r="I138" s="101"/>
      <c r="J138" s="156"/>
      <c r="K138" s="156"/>
      <c r="L138" s="16"/>
      <c r="M138" s="102"/>
      <c r="N138" s="103"/>
      <c r="O138" s="27"/>
      <c r="P138" s="27"/>
      <c r="Q138" s="27"/>
      <c r="R138" s="27"/>
      <c r="S138" s="27"/>
      <c r="T138" s="28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T138" s="10" t="s">
        <v>84</v>
      </c>
      <c r="AU138" s="10" t="s">
        <v>47</v>
      </c>
    </row>
    <row r="139" spans="1:65" s="1" customFormat="1" ht="24.2" customHeight="1" x14ac:dyDescent="0.2">
      <c r="A139" s="156"/>
      <c r="B139" s="85"/>
      <c r="C139" s="86" t="s">
        <v>48</v>
      </c>
      <c r="D139" s="86" t="s">
        <v>78</v>
      </c>
      <c r="E139" s="87" t="s">
        <v>151</v>
      </c>
      <c r="F139" s="88" t="s">
        <v>215</v>
      </c>
      <c r="G139" s="89" t="s">
        <v>100</v>
      </c>
      <c r="H139" s="90">
        <v>1.8089999999999999</v>
      </c>
      <c r="I139" s="91">
        <v>27.886826761540966</v>
      </c>
      <c r="J139" s="92">
        <f>ROUND(I139*H139,2)</f>
        <v>50.45</v>
      </c>
      <c r="K139" s="88" t="s">
        <v>82</v>
      </c>
      <c r="L139" s="16"/>
      <c r="M139" s="93" t="s">
        <v>0</v>
      </c>
      <c r="N139" s="94" t="s">
        <v>27</v>
      </c>
      <c r="O139" s="27"/>
      <c r="P139" s="95">
        <f>O139*H139</f>
        <v>0</v>
      </c>
      <c r="Q139" s="95">
        <v>0</v>
      </c>
      <c r="R139" s="95">
        <f>Q139*H139</f>
        <v>0</v>
      </c>
      <c r="S139" s="95">
        <v>9.8000000000000004E-2</v>
      </c>
      <c r="T139" s="96">
        <f>S139*H139</f>
        <v>0.177282</v>
      </c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R139" s="97" t="s">
        <v>83</v>
      </c>
      <c r="AT139" s="97" t="s">
        <v>78</v>
      </c>
      <c r="AU139" s="97" t="s">
        <v>47</v>
      </c>
      <c r="AY139" s="10" t="s">
        <v>75</v>
      </c>
      <c r="BE139" s="98">
        <f>IF(N139="základní",J139,0)</f>
        <v>50.45</v>
      </c>
      <c r="BF139" s="98">
        <f>IF(N139="snížená",J139,0)</f>
        <v>0</v>
      </c>
      <c r="BG139" s="98">
        <f>IF(N139="zákl. přenesená",J139,0)</f>
        <v>0</v>
      </c>
      <c r="BH139" s="98">
        <f>IF(N139="sníž. přenesená",J139,0)</f>
        <v>0</v>
      </c>
      <c r="BI139" s="98">
        <f>IF(N139="nulová",J139,0)</f>
        <v>0</v>
      </c>
      <c r="BJ139" s="10" t="s">
        <v>46</v>
      </c>
      <c r="BK139" s="98">
        <f>ROUND(I139*H139,2)</f>
        <v>50.45</v>
      </c>
      <c r="BL139" s="10" t="s">
        <v>83</v>
      </c>
      <c r="BM139" s="97" t="s">
        <v>216</v>
      </c>
    </row>
    <row r="140" spans="1:65" s="1" customFormat="1" ht="29.25" x14ac:dyDescent="0.2">
      <c r="A140" s="156"/>
      <c r="B140" s="16"/>
      <c r="C140" s="156"/>
      <c r="D140" s="99" t="s">
        <v>84</v>
      </c>
      <c r="E140" s="156"/>
      <c r="F140" s="100" t="s">
        <v>152</v>
      </c>
      <c r="G140" s="156"/>
      <c r="H140" s="156"/>
      <c r="I140" s="101"/>
      <c r="J140" s="156"/>
      <c r="K140" s="156"/>
      <c r="L140" s="16"/>
      <c r="M140" s="102"/>
      <c r="N140" s="103"/>
      <c r="O140" s="27"/>
      <c r="P140" s="27"/>
      <c r="Q140" s="27"/>
      <c r="R140" s="27"/>
      <c r="S140" s="27"/>
      <c r="T140" s="28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T140" s="10" t="s">
        <v>84</v>
      </c>
      <c r="AU140" s="10" t="s">
        <v>47</v>
      </c>
    </row>
    <row r="141" spans="1:65" s="1" customFormat="1" ht="29.25" x14ac:dyDescent="0.2">
      <c r="A141" s="156"/>
      <c r="B141" s="16"/>
      <c r="C141" s="156"/>
      <c r="D141" s="99" t="s">
        <v>86</v>
      </c>
      <c r="E141" s="156"/>
      <c r="F141" s="104" t="s">
        <v>217</v>
      </c>
      <c r="G141" s="156"/>
      <c r="H141" s="156"/>
      <c r="I141" s="101"/>
      <c r="J141" s="156"/>
      <c r="K141" s="156"/>
      <c r="L141" s="16"/>
      <c r="M141" s="102"/>
      <c r="N141" s="103"/>
      <c r="O141" s="27"/>
      <c r="P141" s="27"/>
      <c r="Q141" s="27"/>
      <c r="R141" s="27"/>
      <c r="S141" s="27"/>
      <c r="T141" s="28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T141" s="10" t="s">
        <v>86</v>
      </c>
      <c r="AU141" s="10" t="s">
        <v>47</v>
      </c>
    </row>
    <row r="142" spans="1:65" s="1" customFormat="1" ht="24.2" customHeight="1" x14ac:dyDescent="0.2">
      <c r="A142" s="156"/>
      <c r="B142" s="85"/>
      <c r="C142" s="86" t="s">
        <v>83</v>
      </c>
      <c r="D142" s="86" t="s">
        <v>78</v>
      </c>
      <c r="E142" s="87" t="s">
        <v>218</v>
      </c>
      <c r="F142" s="88" t="s">
        <v>219</v>
      </c>
      <c r="G142" s="89" t="s">
        <v>100</v>
      </c>
      <c r="H142" s="90">
        <v>0.20100000000000001</v>
      </c>
      <c r="I142" s="91">
        <v>23.091823190584471</v>
      </c>
      <c r="J142" s="92">
        <f>ROUND(I142*H142,2)</f>
        <v>4.6399999999999997</v>
      </c>
      <c r="K142" s="88" t="s">
        <v>82</v>
      </c>
      <c r="L142" s="16"/>
      <c r="M142" s="93" t="s">
        <v>0</v>
      </c>
      <c r="N142" s="94" t="s">
        <v>27</v>
      </c>
      <c r="O142" s="27"/>
      <c r="P142" s="95">
        <f>O142*H142</f>
        <v>0</v>
      </c>
      <c r="Q142" s="95">
        <v>0</v>
      </c>
      <c r="R142" s="95">
        <f>Q142*H142</f>
        <v>0</v>
      </c>
      <c r="S142" s="95">
        <v>0</v>
      </c>
      <c r="T142" s="96">
        <f>S142*H142</f>
        <v>0</v>
      </c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R142" s="97" t="s">
        <v>83</v>
      </c>
      <c r="AT142" s="97" t="s">
        <v>78</v>
      </c>
      <c r="AU142" s="97" t="s">
        <v>47</v>
      </c>
      <c r="AY142" s="10" t="s">
        <v>75</v>
      </c>
      <c r="BE142" s="98">
        <f>IF(N142="základní",J142,0)</f>
        <v>4.6399999999999997</v>
      </c>
      <c r="BF142" s="98">
        <f>IF(N142="snížená",J142,0)</f>
        <v>0</v>
      </c>
      <c r="BG142" s="98">
        <f>IF(N142="zákl. přenesená",J142,0)</f>
        <v>0</v>
      </c>
      <c r="BH142" s="98">
        <f>IF(N142="sníž. přenesená",J142,0)</f>
        <v>0</v>
      </c>
      <c r="BI142" s="98">
        <f>IF(N142="nulová",J142,0)</f>
        <v>0</v>
      </c>
      <c r="BJ142" s="10" t="s">
        <v>46</v>
      </c>
      <c r="BK142" s="98">
        <f>ROUND(I142*H142,2)</f>
        <v>4.6399999999999997</v>
      </c>
      <c r="BL142" s="10" t="s">
        <v>83</v>
      </c>
      <c r="BM142" s="97" t="s">
        <v>220</v>
      </c>
    </row>
    <row r="143" spans="1:65" s="1" customFormat="1" ht="19.5" x14ac:dyDescent="0.2">
      <c r="A143" s="156"/>
      <c r="B143" s="16"/>
      <c r="C143" s="156"/>
      <c r="D143" s="99" t="s">
        <v>84</v>
      </c>
      <c r="E143" s="156"/>
      <c r="F143" s="100" t="s">
        <v>221</v>
      </c>
      <c r="G143" s="156"/>
      <c r="H143" s="156"/>
      <c r="I143" s="101"/>
      <c r="J143" s="156"/>
      <c r="K143" s="156"/>
      <c r="L143" s="16"/>
      <c r="M143" s="102"/>
      <c r="N143" s="103"/>
      <c r="O143" s="27"/>
      <c r="P143" s="27"/>
      <c r="Q143" s="27"/>
      <c r="R143" s="27"/>
      <c r="S143" s="27"/>
      <c r="T143" s="28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T143" s="10" t="s">
        <v>84</v>
      </c>
      <c r="AU143" s="10" t="s">
        <v>47</v>
      </c>
    </row>
    <row r="144" spans="1:65" s="1" customFormat="1" ht="29.25" x14ac:dyDescent="0.2">
      <c r="A144" s="156"/>
      <c r="B144" s="16"/>
      <c r="C144" s="156"/>
      <c r="D144" s="99" t="s">
        <v>86</v>
      </c>
      <c r="E144" s="156"/>
      <c r="F144" s="104" t="s">
        <v>217</v>
      </c>
      <c r="G144" s="156"/>
      <c r="H144" s="156"/>
      <c r="I144" s="101"/>
      <c r="J144" s="156"/>
      <c r="K144" s="156"/>
      <c r="L144" s="16"/>
      <c r="M144" s="102"/>
      <c r="N144" s="103"/>
      <c r="O144" s="27"/>
      <c r="P144" s="27"/>
      <c r="Q144" s="27"/>
      <c r="R144" s="27"/>
      <c r="S144" s="27"/>
      <c r="T144" s="28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T144" s="10" t="s">
        <v>86</v>
      </c>
      <c r="AU144" s="10" t="s">
        <v>47</v>
      </c>
    </row>
    <row r="145" spans="1:65" s="1" customFormat="1" x14ac:dyDescent="0.2">
      <c r="A145" s="170"/>
      <c r="B145" s="16"/>
      <c r="C145" s="170"/>
      <c r="D145" s="99"/>
      <c r="E145" s="170"/>
      <c r="F145" s="107" t="s">
        <v>222</v>
      </c>
      <c r="G145" s="170"/>
      <c r="H145" s="170"/>
      <c r="I145" s="101"/>
      <c r="J145" s="170"/>
      <c r="K145" s="170"/>
      <c r="L145" s="16"/>
      <c r="M145" s="102"/>
      <c r="N145" s="103"/>
      <c r="O145" s="27"/>
      <c r="P145" s="27"/>
      <c r="Q145" s="27"/>
      <c r="R145" s="27"/>
      <c r="S145" s="27"/>
      <c r="T145" s="28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T145" s="10"/>
      <c r="AU145" s="10"/>
    </row>
    <row r="146" spans="1:65" s="1" customFormat="1" x14ac:dyDescent="0.2">
      <c r="A146" s="170"/>
      <c r="B146" s="16"/>
      <c r="C146" s="170"/>
      <c r="D146" s="99"/>
      <c r="E146" s="170"/>
      <c r="F146" s="114" t="s">
        <v>469</v>
      </c>
      <c r="G146" s="170"/>
      <c r="H146" s="170">
        <f>2.01*0.1</f>
        <v>0.20099999999999998</v>
      </c>
      <c r="I146" s="101"/>
      <c r="J146" s="170"/>
      <c r="K146" s="170"/>
      <c r="L146" s="16"/>
      <c r="M146" s="102"/>
      <c r="N146" s="103"/>
      <c r="O146" s="27"/>
      <c r="P146" s="27"/>
      <c r="Q146" s="27"/>
      <c r="R146" s="27"/>
      <c r="S146" s="27"/>
      <c r="T146" s="28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T146" s="10"/>
      <c r="AU146" s="10"/>
    </row>
    <row r="147" spans="1:65" s="1" customFormat="1" ht="24.2" customHeight="1" x14ac:dyDescent="0.2">
      <c r="A147" s="156"/>
      <c r="B147" s="85"/>
      <c r="C147" s="86" t="s">
        <v>223</v>
      </c>
      <c r="D147" s="86" t="s">
        <v>78</v>
      </c>
      <c r="E147" s="87" t="s">
        <v>79</v>
      </c>
      <c r="F147" s="88" t="s">
        <v>80</v>
      </c>
      <c r="G147" s="89" t="s">
        <v>81</v>
      </c>
      <c r="H147" s="90">
        <v>1.794</v>
      </c>
      <c r="I147" s="91">
        <v>285.201942457955</v>
      </c>
      <c r="J147" s="92">
        <f>ROUND(I147*H147,2)</f>
        <v>511.65</v>
      </c>
      <c r="K147" s="88" t="s">
        <v>82</v>
      </c>
      <c r="L147" s="16"/>
      <c r="M147" s="93" t="s">
        <v>0</v>
      </c>
      <c r="N147" s="94" t="s">
        <v>27</v>
      </c>
      <c r="O147" s="27"/>
      <c r="P147" s="95">
        <f>O147*H147</f>
        <v>0</v>
      </c>
      <c r="Q147" s="95">
        <v>0</v>
      </c>
      <c r="R147" s="95">
        <f>Q147*H147</f>
        <v>0</v>
      </c>
      <c r="S147" s="95">
        <v>0</v>
      </c>
      <c r="T147" s="96">
        <f>S147*H147</f>
        <v>0</v>
      </c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R147" s="97" t="s">
        <v>83</v>
      </c>
      <c r="AT147" s="97" t="s">
        <v>78</v>
      </c>
      <c r="AU147" s="97" t="s">
        <v>47</v>
      </c>
      <c r="AY147" s="10" t="s">
        <v>75</v>
      </c>
      <c r="BE147" s="98">
        <f>IF(N147="základní",J147,0)</f>
        <v>511.65</v>
      </c>
      <c r="BF147" s="98">
        <f>IF(N147="snížená",J147,0)</f>
        <v>0</v>
      </c>
      <c r="BG147" s="98">
        <f>IF(N147="zákl. přenesená",J147,0)</f>
        <v>0</v>
      </c>
      <c r="BH147" s="98">
        <f>IF(N147="sníž. přenesená",J147,0)</f>
        <v>0</v>
      </c>
      <c r="BI147" s="98">
        <f>IF(N147="nulová",J147,0)</f>
        <v>0</v>
      </c>
      <c r="BJ147" s="10" t="s">
        <v>46</v>
      </c>
      <c r="BK147" s="98">
        <f>ROUND(I147*H147,2)</f>
        <v>511.65</v>
      </c>
      <c r="BL147" s="10" t="s">
        <v>83</v>
      </c>
      <c r="BM147" s="97" t="s">
        <v>224</v>
      </c>
    </row>
    <row r="148" spans="1:65" s="1" customFormat="1" ht="39" x14ac:dyDescent="0.2">
      <c r="A148" s="156"/>
      <c r="B148" s="16"/>
      <c r="C148" s="156"/>
      <c r="D148" s="99" t="s">
        <v>84</v>
      </c>
      <c r="E148" s="156"/>
      <c r="F148" s="100" t="s">
        <v>85</v>
      </c>
      <c r="G148" s="156"/>
      <c r="H148" s="156"/>
      <c r="I148" s="101"/>
      <c r="J148" s="156"/>
      <c r="K148" s="156"/>
      <c r="L148" s="16"/>
      <c r="M148" s="102"/>
      <c r="N148" s="103"/>
      <c r="O148" s="27"/>
      <c r="P148" s="27"/>
      <c r="Q148" s="27"/>
      <c r="R148" s="27"/>
      <c r="S148" s="27"/>
      <c r="T148" s="28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T148" s="10" t="s">
        <v>84</v>
      </c>
      <c r="AU148" s="10" t="s">
        <v>47</v>
      </c>
    </row>
    <row r="149" spans="1:65" s="1" customFormat="1" ht="39" x14ac:dyDescent="0.2">
      <c r="A149" s="156"/>
      <c r="B149" s="16"/>
      <c r="C149" s="156"/>
      <c r="D149" s="99" t="s">
        <v>86</v>
      </c>
      <c r="E149" s="156"/>
      <c r="F149" s="104" t="s">
        <v>225</v>
      </c>
      <c r="G149" s="156"/>
      <c r="H149" s="156"/>
      <c r="I149" s="101"/>
      <c r="J149" s="156"/>
      <c r="K149" s="156"/>
      <c r="L149" s="16"/>
      <c r="M149" s="102"/>
      <c r="N149" s="103"/>
      <c r="O149" s="27"/>
      <c r="P149" s="27"/>
      <c r="Q149" s="27"/>
      <c r="R149" s="27"/>
      <c r="S149" s="27"/>
      <c r="T149" s="28"/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T149" s="10" t="s">
        <v>86</v>
      </c>
      <c r="AU149" s="10" t="s">
        <v>47</v>
      </c>
    </row>
    <row r="150" spans="1:65" s="6" customFormat="1" ht="22.5" x14ac:dyDescent="0.2">
      <c r="B150" s="105"/>
      <c r="D150" s="99" t="s">
        <v>87</v>
      </c>
      <c r="E150" s="106" t="s">
        <v>0</v>
      </c>
      <c r="F150" s="107" t="s">
        <v>226</v>
      </c>
      <c r="H150" s="106" t="s">
        <v>0</v>
      </c>
      <c r="I150" s="108"/>
      <c r="L150" s="105"/>
      <c r="M150" s="109"/>
      <c r="N150" s="110"/>
      <c r="O150" s="110"/>
      <c r="P150" s="110"/>
      <c r="Q150" s="110"/>
      <c r="R150" s="110"/>
      <c r="S150" s="110"/>
      <c r="T150" s="111"/>
      <c r="AT150" s="106" t="s">
        <v>87</v>
      </c>
      <c r="AU150" s="106" t="s">
        <v>47</v>
      </c>
      <c r="AV150" s="6" t="s">
        <v>46</v>
      </c>
      <c r="AW150" s="6" t="s">
        <v>19</v>
      </c>
      <c r="AX150" s="6" t="s">
        <v>45</v>
      </c>
      <c r="AY150" s="106" t="s">
        <v>75</v>
      </c>
    </row>
    <row r="151" spans="1:65" s="7" customFormat="1" x14ac:dyDescent="0.2">
      <c r="B151" s="112"/>
      <c r="D151" s="99" t="s">
        <v>87</v>
      </c>
      <c r="E151" s="113" t="s">
        <v>0</v>
      </c>
      <c r="F151" s="114" t="s">
        <v>470</v>
      </c>
      <c r="H151" s="115">
        <f>2.01*1*(2.2-0.45)*0.9</f>
        <v>3.1657500000000001</v>
      </c>
      <c r="I151" s="116"/>
      <c r="L151" s="112"/>
      <c r="M151" s="117"/>
      <c r="N151" s="118"/>
      <c r="O151" s="118"/>
      <c r="P151" s="118"/>
      <c r="Q151" s="118"/>
      <c r="R151" s="118"/>
      <c r="S151" s="118"/>
      <c r="T151" s="119"/>
      <c r="AT151" s="113" t="s">
        <v>87</v>
      </c>
      <c r="AU151" s="113" t="s">
        <v>47</v>
      </c>
      <c r="AV151" s="7" t="s">
        <v>47</v>
      </c>
      <c r="AW151" s="7" t="s">
        <v>19</v>
      </c>
      <c r="AX151" s="7" t="s">
        <v>45</v>
      </c>
      <c r="AY151" s="113" t="s">
        <v>75</v>
      </c>
    </row>
    <row r="152" spans="1:65" s="7" customFormat="1" x14ac:dyDescent="0.2">
      <c r="B152" s="112"/>
      <c r="D152" s="99" t="s">
        <v>87</v>
      </c>
      <c r="E152" s="113" t="s">
        <v>0</v>
      </c>
      <c r="F152" s="114"/>
      <c r="H152" s="115"/>
      <c r="I152" s="116"/>
      <c r="L152" s="112"/>
      <c r="M152" s="117"/>
      <c r="N152" s="118"/>
      <c r="O152" s="118"/>
      <c r="P152" s="118"/>
      <c r="Q152" s="118"/>
      <c r="R152" s="118"/>
      <c r="S152" s="118"/>
      <c r="T152" s="119"/>
      <c r="AT152" s="113" t="s">
        <v>87</v>
      </c>
      <c r="AU152" s="113" t="s">
        <v>47</v>
      </c>
      <c r="AV152" s="7" t="s">
        <v>47</v>
      </c>
      <c r="AW152" s="7" t="s">
        <v>19</v>
      </c>
      <c r="AX152" s="7" t="s">
        <v>45</v>
      </c>
      <c r="AY152" s="113" t="s">
        <v>75</v>
      </c>
    </row>
    <row r="153" spans="1:65" s="6" customFormat="1" x14ac:dyDescent="0.2">
      <c r="B153" s="105"/>
      <c r="D153" s="99" t="s">
        <v>87</v>
      </c>
      <c r="E153" s="106" t="s">
        <v>0</v>
      </c>
      <c r="F153" s="107" t="s">
        <v>408</v>
      </c>
      <c r="H153" s="106" t="s">
        <v>0</v>
      </c>
      <c r="I153" s="108"/>
      <c r="L153" s="105"/>
      <c r="M153" s="109"/>
      <c r="N153" s="110"/>
      <c r="O153" s="110"/>
      <c r="P153" s="110"/>
      <c r="Q153" s="110"/>
      <c r="R153" s="110"/>
      <c r="S153" s="110"/>
      <c r="T153" s="111"/>
      <c r="AT153" s="106" t="s">
        <v>87</v>
      </c>
      <c r="AU153" s="106" t="s">
        <v>47</v>
      </c>
      <c r="AV153" s="6" t="s">
        <v>46</v>
      </c>
      <c r="AW153" s="6" t="s">
        <v>19</v>
      </c>
      <c r="AX153" s="6" t="s">
        <v>45</v>
      </c>
      <c r="AY153" s="106" t="s">
        <v>75</v>
      </c>
    </row>
    <row r="154" spans="1:65" s="7" customFormat="1" x14ac:dyDescent="0.2">
      <c r="B154" s="112"/>
      <c r="D154" s="99" t="s">
        <v>87</v>
      </c>
      <c r="E154" s="113" t="s">
        <v>0</v>
      </c>
      <c r="F154" s="114" t="s">
        <v>471</v>
      </c>
      <c r="H154" s="115">
        <f>2.01*1*(2.2-0.1)*0.1</f>
        <v>0.42210000000000003</v>
      </c>
      <c r="I154" s="116"/>
      <c r="L154" s="112"/>
      <c r="M154" s="117"/>
      <c r="N154" s="118"/>
      <c r="O154" s="118"/>
      <c r="P154" s="118"/>
      <c r="Q154" s="118"/>
      <c r="R154" s="118"/>
      <c r="S154" s="118"/>
      <c r="T154" s="119"/>
      <c r="AT154" s="113" t="s">
        <v>87</v>
      </c>
      <c r="AU154" s="113" t="s">
        <v>47</v>
      </c>
      <c r="AV154" s="7" t="s">
        <v>47</v>
      </c>
      <c r="AW154" s="7" t="s">
        <v>19</v>
      </c>
      <c r="AX154" s="7" t="s">
        <v>45</v>
      </c>
      <c r="AY154" s="113" t="s">
        <v>75</v>
      </c>
    </row>
    <row r="155" spans="1:65" s="8" customFormat="1" x14ac:dyDescent="0.2">
      <c r="B155" s="120"/>
      <c r="D155" s="99" t="s">
        <v>87</v>
      </c>
      <c r="E155" s="121" t="s">
        <v>0</v>
      </c>
      <c r="F155" s="122" t="s">
        <v>88</v>
      </c>
      <c r="H155" s="123">
        <f>H151+H152+H154</f>
        <v>3.58785</v>
      </c>
      <c r="I155" s="124"/>
      <c r="L155" s="120"/>
      <c r="M155" s="125"/>
      <c r="N155" s="126"/>
      <c r="O155" s="126"/>
      <c r="P155" s="126"/>
      <c r="Q155" s="126"/>
      <c r="R155" s="126"/>
      <c r="S155" s="126"/>
      <c r="T155" s="127"/>
      <c r="AT155" s="121" t="s">
        <v>87</v>
      </c>
      <c r="AU155" s="121" t="s">
        <v>47</v>
      </c>
      <c r="AV155" s="8" t="s">
        <v>48</v>
      </c>
      <c r="AW155" s="8" t="s">
        <v>19</v>
      </c>
      <c r="AX155" s="8" t="s">
        <v>45</v>
      </c>
      <c r="AY155" s="121" t="s">
        <v>75</v>
      </c>
    </row>
    <row r="156" spans="1:65" s="7" customFormat="1" x14ac:dyDescent="0.2">
      <c r="B156" s="112"/>
      <c r="D156" s="99" t="s">
        <v>87</v>
      </c>
      <c r="E156" s="113" t="s">
        <v>0</v>
      </c>
      <c r="F156" s="114" t="s">
        <v>472</v>
      </c>
      <c r="H156" s="115">
        <f>H155*0.5</f>
        <v>1.793925</v>
      </c>
      <c r="I156" s="116"/>
      <c r="L156" s="112"/>
      <c r="M156" s="117"/>
      <c r="N156" s="118"/>
      <c r="O156" s="118"/>
      <c r="P156" s="118"/>
      <c r="Q156" s="118"/>
      <c r="R156" s="118"/>
      <c r="S156" s="118"/>
      <c r="T156" s="119"/>
      <c r="AT156" s="113" t="s">
        <v>87</v>
      </c>
      <c r="AU156" s="113" t="s">
        <v>47</v>
      </c>
      <c r="AV156" s="7" t="s">
        <v>47</v>
      </c>
      <c r="AW156" s="7" t="s">
        <v>19</v>
      </c>
      <c r="AX156" s="7" t="s">
        <v>46</v>
      </c>
      <c r="AY156" s="113" t="s">
        <v>75</v>
      </c>
    </row>
    <row r="157" spans="1:65" s="1" customFormat="1" ht="24.2" customHeight="1" x14ac:dyDescent="0.2">
      <c r="A157" s="156"/>
      <c r="B157" s="85"/>
      <c r="C157" s="86" t="s">
        <v>228</v>
      </c>
      <c r="D157" s="86" t="s">
        <v>78</v>
      </c>
      <c r="E157" s="87" t="s">
        <v>90</v>
      </c>
      <c r="F157" s="88" t="s">
        <v>91</v>
      </c>
      <c r="G157" s="89" t="s">
        <v>81</v>
      </c>
      <c r="H157" s="90">
        <v>1.794</v>
      </c>
      <c r="I157" s="91">
        <v>390.55963566140201</v>
      </c>
      <c r="J157" s="92">
        <f>ROUND(I157*H157,2)</f>
        <v>700.66</v>
      </c>
      <c r="K157" s="88" t="s">
        <v>82</v>
      </c>
      <c r="L157" s="16"/>
      <c r="M157" s="93" t="s">
        <v>0</v>
      </c>
      <c r="N157" s="94" t="s">
        <v>27</v>
      </c>
      <c r="O157" s="27"/>
      <c r="P157" s="95">
        <f>O157*H157</f>
        <v>0</v>
      </c>
      <c r="Q157" s="95">
        <v>0</v>
      </c>
      <c r="R157" s="95">
        <f>Q157*H157</f>
        <v>0</v>
      </c>
      <c r="S157" s="95">
        <v>0</v>
      </c>
      <c r="T157" s="96">
        <f>S157*H157</f>
        <v>0</v>
      </c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R157" s="97" t="s">
        <v>83</v>
      </c>
      <c r="AT157" s="97" t="s">
        <v>78</v>
      </c>
      <c r="AU157" s="97" t="s">
        <v>47</v>
      </c>
      <c r="AY157" s="10" t="s">
        <v>75</v>
      </c>
      <c r="BE157" s="98">
        <f>IF(N157="základní",J157,0)</f>
        <v>700.66</v>
      </c>
      <c r="BF157" s="98">
        <f>IF(N157="snížená",J157,0)</f>
        <v>0</v>
      </c>
      <c r="BG157" s="98">
        <f>IF(N157="zákl. přenesená",J157,0)</f>
        <v>0</v>
      </c>
      <c r="BH157" s="98">
        <f>IF(N157="sníž. přenesená",J157,0)</f>
        <v>0</v>
      </c>
      <c r="BI157" s="98">
        <f>IF(N157="nulová",J157,0)</f>
        <v>0</v>
      </c>
      <c r="BJ157" s="10" t="s">
        <v>46</v>
      </c>
      <c r="BK157" s="98">
        <f>ROUND(I157*H157,2)</f>
        <v>700.66</v>
      </c>
      <c r="BL157" s="10" t="s">
        <v>83</v>
      </c>
      <c r="BM157" s="97" t="s">
        <v>229</v>
      </c>
    </row>
    <row r="158" spans="1:65" s="1" customFormat="1" ht="39" x14ac:dyDescent="0.2">
      <c r="A158" s="156"/>
      <c r="B158" s="16"/>
      <c r="C158" s="156"/>
      <c r="D158" s="99" t="s">
        <v>84</v>
      </c>
      <c r="E158" s="156"/>
      <c r="F158" s="100" t="s">
        <v>92</v>
      </c>
      <c r="G158" s="156"/>
      <c r="H158" s="156"/>
      <c r="I158" s="101"/>
      <c r="J158" s="156"/>
      <c r="K158" s="156"/>
      <c r="L158" s="16"/>
      <c r="M158" s="102"/>
      <c r="N158" s="103"/>
      <c r="O158" s="27"/>
      <c r="P158" s="27"/>
      <c r="Q158" s="27"/>
      <c r="R158" s="27"/>
      <c r="S158" s="27"/>
      <c r="T158" s="28"/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T158" s="10" t="s">
        <v>84</v>
      </c>
      <c r="AU158" s="10" t="s">
        <v>47</v>
      </c>
    </row>
    <row r="159" spans="1:65" s="1" customFormat="1" ht="39" x14ac:dyDescent="0.2">
      <c r="A159" s="156"/>
      <c r="B159" s="16"/>
      <c r="C159" s="156"/>
      <c r="D159" s="99" t="s">
        <v>86</v>
      </c>
      <c r="E159" s="156"/>
      <c r="F159" s="104" t="s">
        <v>225</v>
      </c>
      <c r="G159" s="156"/>
      <c r="H159" s="156"/>
      <c r="I159" s="101"/>
      <c r="J159" s="156"/>
      <c r="K159" s="156"/>
      <c r="L159" s="16"/>
      <c r="M159" s="102"/>
      <c r="N159" s="103"/>
      <c r="O159" s="27"/>
      <c r="P159" s="27"/>
      <c r="Q159" s="27"/>
      <c r="R159" s="27"/>
      <c r="S159" s="27"/>
      <c r="T159" s="28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T159" s="10" t="s">
        <v>86</v>
      </c>
      <c r="AU159" s="10" t="s">
        <v>47</v>
      </c>
    </row>
    <row r="160" spans="1:65" s="1" customFormat="1" ht="24.2" customHeight="1" x14ac:dyDescent="0.2">
      <c r="A160" s="156"/>
      <c r="B160" s="85"/>
      <c r="C160" s="86" t="s">
        <v>230</v>
      </c>
      <c r="D160" s="86" t="s">
        <v>78</v>
      </c>
      <c r="E160" s="87" t="s">
        <v>94</v>
      </c>
      <c r="F160" s="88" t="s">
        <v>95</v>
      </c>
      <c r="G160" s="89" t="s">
        <v>81</v>
      </c>
      <c r="H160" s="90">
        <v>0.71799999999999997</v>
      </c>
      <c r="I160" s="91">
        <v>650.27058629099099</v>
      </c>
      <c r="J160" s="92">
        <f>ROUND(I160*H160,2)</f>
        <v>466.89</v>
      </c>
      <c r="K160" s="88" t="s">
        <v>82</v>
      </c>
      <c r="L160" s="16"/>
      <c r="M160" s="93" t="s">
        <v>0</v>
      </c>
      <c r="N160" s="94" t="s">
        <v>27</v>
      </c>
      <c r="O160" s="27"/>
      <c r="P160" s="95">
        <f>O160*H160</f>
        <v>0</v>
      </c>
      <c r="Q160" s="95">
        <v>0</v>
      </c>
      <c r="R160" s="95">
        <f>Q160*H160</f>
        <v>0</v>
      </c>
      <c r="S160" s="95">
        <v>0</v>
      </c>
      <c r="T160" s="96">
        <f>S160*H160</f>
        <v>0</v>
      </c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R160" s="97" t="s">
        <v>83</v>
      </c>
      <c r="AT160" s="97" t="s">
        <v>78</v>
      </c>
      <c r="AU160" s="97" t="s">
        <v>47</v>
      </c>
      <c r="AY160" s="10" t="s">
        <v>75</v>
      </c>
      <c r="BE160" s="98">
        <f>IF(N160="základní",J160,0)</f>
        <v>466.89</v>
      </c>
      <c r="BF160" s="98">
        <f>IF(N160="snížená",J160,0)</f>
        <v>0</v>
      </c>
      <c r="BG160" s="98">
        <f>IF(N160="zákl. přenesená",J160,0)</f>
        <v>0</v>
      </c>
      <c r="BH160" s="98">
        <f>IF(N160="sníž. přenesená",J160,0)</f>
        <v>0</v>
      </c>
      <c r="BI160" s="98">
        <f>IF(N160="nulová",J160,0)</f>
        <v>0</v>
      </c>
      <c r="BJ160" s="10" t="s">
        <v>46</v>
      </c>
      <c r="BK160" s="98">
        <f>ROUND(I160*H160,2)</f>
        <v>466.89</v>
      </c>
      <c r="BL160" s="10" t="s">
        <v>83</v>
      </c>
      <c r="BM160" s="97" t="s">
        <v>231</v>
      </c>
    </row>
    <row r="161" spans="1:65" s="1" customFormat="1" ht="29.25" x14ac:dyDescent="0.2">
      <c r="A161" s="156"/>
      <c r="B161" s="16"/>
      <c r="C161" s="156"/>
      <c r="D161" s="99" t="s">
        <v>84</v>
      </c>
      <c r="E161" s="156"/>
      <c r="F161" s="100" t="s">
        <v>96</v>
      </c>
      <c r="G161" s="156"/>
      <c r="H161" s="156"/>
      <c r="I161" s="101"/>
      <c r="J161" s="156"/>
      <c r="K161" s="156"/>
      <c r="L161" s="16"/>
      <c r="M161" s="102"/>
      <c r="N161" s="103"/>
      <c r="O161" s="27"/>
      <c r="P161" s="27"/>
      <c r="Q161" s="27"/>
      <c r="R161" s="27"/>
      <c r="S161" s="27"/>
      <c r="T161" s="28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T161" s="10" t="s">
        <v>84</v>
      </c>
      <c r="AU161" s="10" t="s">
        <v>47</v>
      </c>
    </row>
    <row r="162" spans="1:65" s="6" customFormat="1" x14ac:dyDescent="0.2">
      <c r="B162" s="105"/>
      <c r="D162" s="99" t="s">
        <v>87</v>
      </c>
      <c r="E162" s="106" t="s">
        <v>0</v>
      </c>
      <c r="F162" s="107" t="s">
        <v>97</v>
      </c>
      <c r="H162" s="106" t="s">
        <v>0</v>
      </c>
      <c r="I162" s="108"/>
      <c r="L162" s="105"/>
      <c r="M162" s="109"/>
      <c r="N162" s="110"/>
      <c r="O162" s="110"/>
      <c r="P162" s="110"/>
      <c r="Q162" s="110"/>
      <c r="R162" s="110"/>
      <c r="S162" s="110"/>
      <c r="T162" s="111"/>
      <c r="AT162" s="106" t="s">
        <v>87</v>
      </c>
      <c r="AU162" s="106" t="s">
        <v>47</v>
      </c>
      <c r="AV162" s="6" t="s">
        <v>46</v>
      </c>
      <c r="AW162" s="6" t="s">
        <v>19</v>
      </c>
      <c r="AX162" s="6" t="s">
        <v>45</v>
      </c>
      <c r="AY162" s="106" t="s">
        <v>75</v>
      </c>
    </row>
    <row r="163" spans="1:65" s="7" customFormat="1" x14ac:dyDescent="0.2">
      <c r="B163" s="112"/>
      <c r="D163" s="99" t="s">
        <v>87</v>
      </c>
      <c r="E163" s="113" t="s">
        <v>0</v>
      </c>
      <c r="F163" s="114" t="s">
        <v>473</v>
      </c>
      <c r="H163" s="115">
        <f>(1.794+1.794)*0.2</f>
        <v>0.71760000000000002</v>
      </c>
      <c r="I163" s="116"/>
      <c r="L163" s="112"/>
      <c r="M163" s="117"/>
      <c r="N163" s="118"/>
      <c r="O163" s="118"/>
      <c r="P163" s="118"/>
      <c r="Q163" s="118"/>
      <c r="R163" s="118"/>
      <c r="S163" s="118"/>
      <c r="T163" s="119"/>
      <c r="AT163" s="113" t="s">
        <v>87</v>
      </c>
      <c r="AU163" s="113" t="s">
        <v>47</v>
      </c>
      <c r="AV163" s="7" t="s">
        <v>47</v>
      </c>
      <c r="AW163" s="7" t="s">
        <v>19</v>
      </c>
      <c r="AX163" s="7" t="s">
        <v>46</v>
      </c>
      <c r="AY163" s="113" t="s">
        <v>75</v>
      </c>
    </row>
    <row r="164" spans="1:65" s="1" customFormat="1" ht="14.45" customHeight="1" x14ac:dyDescent="0.2">
      <c r="A164" s="156"/>
      <c r="B164" s="85"/>
      <c r="C164" s="86" t="s">
        <v>129</v>
      </c>
      <c r="D164" s="86" t="s">
        <v>78</v>
      </c>
      <c r="E164" s="87" t="s">
        <v>98</v>
      </c>
      <c r="F164" s="88" t="s">
        <v>99</v>
      </c>
      <c r="G164" s="89" t="s">
        <v>100</v>
      </c>
      <c r="H164" s="90">
        <v>8.8439999999999994</v>
      </c>
      <c r="I164" s="91">
        <v>156.6895922457376</v>
      </c>
      <c r="J164" s="92">
        <f>ROUND(I164*H164,2)</f>
        <v>1385.76</v>
      </c>
      <c r="K164" s="88" t="s">
        <v>82</v>
      </c>
      <c r="L164" s="16"/>
      <c r="M164" s="93" t="s">
        <v>0</v>
      </c>
      <c r="N164" s="94" t="s">
        <v>27</v>
      </c>
      <c r="O164" s="27"/>
      <c r="P164" s="95">
        <f>O164*H164</f>
        <v>0</v>
      </c>
      <c r="Q164" s="95">
        <v>5.9000000000000003E-4</v>
      </c>
      <c r="R164" s="95">
        <f>Q164*H164</f>
        <v>5.2179599999999998E-3</v>
      </c>
      <c r="S164" s="95">
        <v>0</v>
      </c>
      <c r="T164" s="96">
        <f>S164*H164</f>
        <v>0</v>
      </c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R164" s="97" t="s">
        <v>83</v>
      </c>
      <c r="AT164" s="97" t="s">
        <v>78</v>
      </c>
      <c r="AU164" s="97" t="s">
        <v>47</v>
      </c>
      <c r="AY164" s="10" t="s">
        <v>75</v>
      </c>
      <c r="BE164" s="98">
        <f>IF(N164="základní",J164,0)</f>
        <v>1385.76</v>
      </c>
      <c r="BF164" s="98">
        <f>IF(N164="snížená",J164,0)</f>
        <v>0</v>
      </c>
      <c r="BG164" s="98">
        <f>IF(N164="zákl. přenesená",J164,0)</f>
        <v>0</v>
      </c>
      <c r="BH164" s="98">
        <f>IF(N164="sníž. přenesená",J164,0)</f>
        <v>0</v>
      </c>
      <c r="BI164" s="98">
        <f>IF(N164="nulová",J164,0)</f>
        <v>0</v>
      </c>
      <c r="BJ164" s="10" t="s">
        <v>46</v>
      </c>
      <c r="BK164" s="98">
        <f>ROUND(I164*H164,2)</f>
        <v>1385.76</v>
      </c>
      <c r="BL164" s="10" t="s">
        <v>83</v>
      </c>
      <c r="BM164" s="97" t="s">
        <v>232</v>
      </c>
    </row>
    <row r="165" spans="1:65" s="1" customFormat="1" ht="19.5" x14ac:dyDescent="0.2">
      <c r="A165" s="156"/>
      <c r="B165" s="16"/>
      <c r="C165" s="156"/>
      <c r="D165" s="99" t="s">
        <v>84</v>
      </c>
      <c r="E165" s="156"/>
      <c r="F165" s="100" t="s">
        <v>101</v>
      </c>
      <c r="G165" s="156"/>
      <c r="H165" s="156"/>
      <c r="I165" s="101"/>
      <c r="J165" s="156"/>
      <c r="K165" s="156"/>
      <c r="L165" s="16"/>
      <c r="M165" s="102"/>
      <c r="N165" s="103"/>
      <c r="O165" s="27"/>
      <c r="P165" s="27"/>
      <c r="Q165" s="27"/>
      <c r="R165" s="27"/>
      <c r="S165" s="27"/>
      <c r="T165" s="28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T165" s="10" t="s">
        <v>84</v>
      </c>
      <c r="AU165" s="10" t="s">
        <v>47</v>
      </c>
    </row>
    <row r="166" spans="1:65" s="1" customFormat="1" ht="29.25" x14ac:dyDescent="0.2">
      <c r="A166" s="156"/>
      <c r="B166" s="16"/>
      <c r="C166" s="156"/>
      <c r="D166" s="99" t="s">
        <v>86</v>
      </c>
      <c r="E166" s="156"/>
      <c r="F166" s="104" t="s">
        <v>217</v>
      </c>
      <c r="G166" s="156"/>
      <c r="H166" s="156"/>
      <c r="I166" s="101"/>
      <c r="J166" s="156"/>
      <c r="K166" s="156"/>
      <c r="L166" s="16"/>
      <c r="M166" s="102"/>
      <c r="N166" s="103"/>
      <c r="O166" s="27"/>
      <c r="P166" s="27"/>
      <c r="Q166" s="27"/>
      <c r="R166" s="27"/>
      <c r="S166" s="27"/>
      <c r="T166" s="28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T166" s="10" t="s">
        <v>86</v>
      </c>
      <c r="AU166" s="10" t="s">
        <v>47</v>
      </c>
    </row>
    <row r="167" spans="1:65" s="7" customFormat="1" x14ac:dyDescent="0.2">
      <c r="B167" s="112"/>
      <c r="D167" s="99" t="s">
        <v>87</v>
      </c>
      <c r="E167" s="113" t="s">
        <v>0</v>
      </c>
      <c r="F167" s="114" t="s">
        <v>474</v>
      </c>
      <c r="H167" s="115">
        <f>2.01*2.2*2</f>
        <v>8.8439999999999994</v>
      </c>
      <c r="I167" s="116"/>
      <c r="L167" s="112"/>
      <c r="M167" s="117"/>
      <c r="N167" s="118"/>
      <c r="O167" s="118"/>
      <c r="P167" s="118"/>
      <c r="Q167" s="118"/>
      <c r="R167" s="118"/>
      <c r="S167" s="118"/>
      <c r="T167" s="119"/>
      <c r="AT167" s="113" t="s">
        <v>87</v>
      </c>
      <c r="AU167" s="113" t="s">
        <v>47</v>
      </c>
      <c r="AV167" s="7" t="s">
        <v>47</v>
      </c>
      <c r="AW167" s="7" t="s">
        <v>19</v>
      </c>
      <c r="AX167" s="7" t="s">
        <v>46</v>
      </c>
      <c r="AY167" s="113" t="s">
        <v>75</v>
      </c>
    </row>
    <row r="168" spans="1:65" s="1" customFormat="1" ht="14.45" customHeight="1" x14ac:dyDescent="0.2">
      <c r="A168" s="156"/>
      <c r="B168" s="85"/>
      <c r="C168" s="86" t="s">
        <v>233</v>
      </c>
      <c r="D168" s="86" t="s">
        <v>78</v>
      </c>
      <c r="E168" s="87" t="s">
        <v>105</v>
      </c>
      <c r="F168" s="88" t="s">
        <v>106</v>
      </c>
      <c r="G168" s="89" t="s">
        <v>100</v>
      </c>
      <c r="H168" s="90">
        <v>8.8439999999999994</v>
      </c>
      <c r="I168" s="91">
        <v>103.33666316345877</v>
      </c>
      <c r="J168" s="92">
        <f>ROUND(I168*H168,2)</f>
        <v>913.91</v>
      </c>
      <c r="K168" s="88" t="s">
        <v>82</v>
      </c>
      <c r="L168" s="16"/>
      <c r="M168" s="93" t="s">
        <v>0</v>
      </c>
      <c r="N168" s="94" t="s">
        <v>27</v>
      </c>
      <c r="O168" s="27"/>
      <c r="P168" s="95">
        <f>O168*H168</f>
        <v>0</v>
      </c>
      <c r="Q168" s="95">
        <v>0</v>
      </c>
      <c r="R168" s="95">
        <f>Q168*H168</f>
        <v>0</v>
      </c>
      <c r="S168" s="95">
        <v>0</v>
      </c>
      <c r="T168" s="96">
        <f>S168*H168</f>
        <v>0</v>
      </c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R168" s="97" t="s">
        <v>83</v>
      </c>
      <c r="AT168" s="97" t="s">
        <v>78</v>
      </c>
      <c r="AU168" s="97" t="s">
        <v>47</v>
      </c>
      <c r="AY168" s="10" t="s">
        <v>75</v>
      </c>
      <c r="BE168" s="98">
        <f>IF(N168="základní",J168,0)</f>
        <v>913.91</v>
      </c>
      <c r="BF168" s="98">
        <f>IF(N168="snížená",J168,0)</f>
        <v>0</v>
      </c>
      <c r="BG168" s="98">
        <f>IF(N168="zákl. přenesená",J168,0)</f>
        <v>0</v>
      </c>
      <c r="BH168" s="98">
        <f>IF(N168="sníž. přenesená",J168,0)</f>
        <v>0</v>
      </c>
      <c r="BI168" s="98">
        <f>IF(N168="nulová",J168,0)</f>
        <v>0</v>
      </c>
      <c r="BJ168" s="10" t="s">
        <v>46</v>
      </c>
      <c r="BK168" s="98">
        <f>ROUND(I168*H168,2)</f>
        <v>913.91</v>
      </c>
      <c r="BL168" s="10" t="s">
        <v>83</v>
      </c>
      <c r="BM168" s="97" t="s">
        <v>234</v>
      </c>
    </row>
    <row r="169" spans="1:65" s="1" customFormat="1" ht="19.5" x14ac:dyDescent="0.2">
      <c r="A169" s="156"/>
      <c r="B169" s="16"/>
      <c r="C169" s="156"/>
      <c r="D169" s="99" t="s">
        <v>84</v>
      </c>
      <c r="E169" s="156"/>
      <c r="F169" s="100" t="s">
        <v>107</v>
      </c>
      <c r="G169" s="156"/>
      <c r="H169" s="156"/>
      <c r="I169" s="101"/>
      <c r="J169" s="156"/>
      <c r="K169" s="156"/>
      <c r="L169" s="16"/>
      <c r="M169" s="102"/>
      <c r="N169" s="103"/>
      <c r="O169" s="27"/>
      <c r="P169" s="27"/>
      <c r="Q169" s="27"/>
      <c r="R169" s="27"/>
      <c r="S169" s="27"/>
      <c r="T169" s="28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T169" s="10" t="s">
        <v>84</v>
      </c>
      <c r="AU169" s="10" t="s">
        <v>47</v>
      </c>
    </row>
    <row r="170" spans="1:65" s="1" customFormat="1" ht="37.9" customHeight="1" x14ac:dyDescent="0.2">
      <c r="A170" s="156"/>
      <c r="B170" s="85"/>
      <c r="C170" s="86" t="s">
        <v>235</v>
      </c>
      <c r="D170" s="86" t="s">
        <v>78</v>
      </c>
      <c r="E170" s="87" t="s">
        <v>109</v>
      </c>
      <c r="F170" s="88" t="s">
        <v>110</v>
      </c>
      <c r="G170" s="89" t="s">
        <v>81</v>
      </c>
      <c r="H170" s="90">
        <v>3.6880000000000002</v>
      </c>
      <c r="I170" s="91">
        <v>262.06861194786097</v>
      </c>
      <c r="J170" s="92">
        <f>ROUND(I170*H170,2)</f>
        <v>966.51</v>
      </c>
      <c r="K170" s="88" t="s">
        <v>82</v>
      </c>
      <c r="L170" s="16"/>
      <c r="M170" s="93" t="s">
        <v>0</v>
      </c>
      <c r="N170" s="94" t="s">
        <v>27</v>
      </c>
      <c r="O170" s="27"/>
      <c r="P170" s="95">
        <f>O170*H170</f>
        <v>0</v>
      </c>
      <c r="Q170" s="95">
        <v>0</v>
      </c>
      <c r="R170" s="95">
        <f>Q170*H170</f>
        <v>0</v>
      </c>
      <c r="S170" s="95">
        <v>0</v>
      </c>
      <c r="T170" s="96">
        <f>S170*H170</f>
        <v>0</v>
      </c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R170" s="97" t="s">
        <v>83</v>
      </c>
      <c r="AT170" s="97" t="s">
        <v>78</v>
      </c>
      <c r="AU170" s="97" t="s">
        <v>47</v>
      </c>
      <c r="AY170" s="10" t="s">
        <v>75</v>
      </c>
      <c r="BE170" s="98">
        <f>IF(N170="základní",J170,0)</f>
        <v>966.51</v>
      </c>
      <c r="BF170" s="98">
        <f>IF(N170="snížená",J170,0)</f>
        <v>0</v>
      </c>
      <c r="BG170" s="98">
        <f>IF(N170="zákl. přenesená",J170,0)</f>
        <v>0</v>
      </c>
      <c r="BH170" s="98">
        <f>IF(N170="sníž. přenesená",J170,0)</f>
        <v>0</v>
      </c>
      <c r="BI170" s="98">
        <f>IF(N170="nulová",J170,0)</f>
        <v>0</v>
      </c>
      <c r="BJ170" s="10" t="s">
        <v>46</v>
      </c>
      <c r="BK170" s="98">
        <f>ROUND(I170*H170,2)</f>
        <v>966.51</v>
      </c>
      <c r="BL170" s="10" t="s">
        <v>83</v>
      </c>
      <c r="BM170" s="97" t="s">
        <v>236</v>
      </c>
    </row>
    <row r="171" spans="1:65" s="1" customFormat="1" ht="39" x14ac:dyDescent="0.2">
      <c r="A171" s="156"/>
      <c r="B171" s="16"/>
      <c r="C171" s="156"/>
      <c r="D171" s="99" t="s">
        <v>84</v>
      </c>
      <c r="E171" s="156"/>
      <c r="F171" s="100" t="s">
        <v>111</v>
      </c>
      <c r="G171" s="156"/>
      <c r="H171" s="156"/>
      <c r="I171" s="101"/>
      <c r="J171" s="156"/>
      <c r="K171" s="156"/>
      <c r="L171" s="16"/>
      <c r="M171" s="102"/>
      <c r="N171" s="103"/>
      <c r="O171" s="27"/>
      <c r="P171" s="27"/>
      <c r="Q171" s="27"/>
      <c r="R171" s="27"/>
      <c r="S171" s="27"/>
      <c r="T171" s="28"/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T171" s="10" t="s">
        <v>84</v>
      </c>
      <c r="AU171" s="10" t="s">
        <v>47</v>
      </c>
    </row>
    <row r="172" spans="1:65" s="6" customFormat="1" x14ac:dyDescent="0.2">
      <c r="B172" s="105"/>
      <c r="D172" s="99" t="s">
        <v>87</v>
      </c>
      <c r="E172" s="106" t="s">
        <v>0</v>
      </c>
      <c r="F172" s="107" t="s">
        <v>140</v>
      </c>
      <c r="H172" s="106" t="s">
        <v>0</v>
      </c>
      <c r="I172" s="108"/>
      <c r="L172" s="105"/>
      <c r="M172" s="109"/>
      <c r="N172" s="110"/>
      <c r="O172" s="110"/>
      <c r="P172" s="110"/>
      <c r="Q172" s="110"/>
      <c r="R172" s="110"/>
      <c r="S172" s="110"/>
      <c r="T172" s="111"/>
      <c r="AT172" s="106" t="s">
        <v>87</v>
      </c>
      <c r="AU172" s="106" t="s">
        <v>47</v>
      </c>
      <c r="AV172" s="6" t="s">
        <v>46</v>
      </c>
      <c r="AW172" s="6" t="s">
        <v>19</v>
      </c>
      <c r="AX172" s="6" t="s">
        <v>45</v>
      </c>
      <c r="AY172" s="106" t="s">
        <v>75</v>
      </c>
    </row>
    <row r="173" spans="1:65" s="7" customFormat="1" x14ac:dyDescent="0.2">
      <c r="B173" s="112"/>
      <c r="D173" s="99" t="s">
        <v>87</v>
      </c>
      <c r="E173" s="113" t="s">
        <v>0</v>
      </c>
      <c r="F173" s="114" t="s">
        <v>475</v>
      </c>
      <c r="H173" s="115">
        <f>1.794+1.794</f>
        <v>3.5880000000000001</v>
      </c>
      <c r="I173" s="116"/>
      <c r="L173" s="112"/>
      <c r="M173" s="117"/>
      <c r="N173" s="118"/>
      <c r="O173" s="118"/>
      <c r="P173" s="118"/>
      <c r="Q173" s="118"/>
      <c r="R173" s="118"/>
      <c r="S173" s="118"/>
      <c r="T173" s="119"/>
      <c r="AT173" s="113" t="s">
        <v>87</v>
      </c>
      <c r="AU173" s="113" t="s">
        <v>47</v>
      </c>
      <c r="AV173" s="7" t="s">
        <v>47</v>
      </c>
      <c r="AW173" s="7" t="s">
        <v>19</v>
      </c>
      <c r="AX173" s="7" t="s">
        <v>45</v>
      </c>
      <c r="AY173" s="113" t="s">
        <v>75</v>
      </c>
    </row>
    <row r="174" spans="1:65" s="6" customFormat="1" x14ac:dyDescent="0.2">
      <c r="B174" s="105"/>
      <c r="D174" s="99" t="s">
        <v>87</v>
      </c>
      <c r="E174" s="106" t="s">
        <v>0</v>
      </c>
      <c r="F174" s="107" t="s">
        <v>409</v>
      </c>
      <c r="H174" s="106" t="s">
        <v>0</v>
      </c>
      <c r="I174" s="108"/>
      <c r="L174" s="105"/>
      <c r="M174" s="109"/>
      <c r="N174" s="110"/>
      <c r="O174" s="110"/>
      <c r="P174" s="110"/>
      <c r="Q174" s="110"/>
      <c r="R174" s="110"/>
      <c r="S174" s="110"/>
      <c r="T174" s="111"/>
      <c r="AT174" s="106" t="s">
        <v>87</v>
      </c>
      <c r="AU174" s="106" t="s">
        <v>47</v>
      </c>
      <c r="AV174" s="6" t="s">
        <v>46</v>
      </c>
      <c r="AW174" s="6" t="s">
        <v>19</v>
      </c>
      <c r="AX174" s="6" t="s">
        <v>45</v>
      </c>
      <c r="AY174" s="106" t="s">
        <v>75</v>
      </c>
    </row>
    <row r="175" spans="1:65" s="7" customFormat="1" x14ac:dyDescent="0.2">
      <c r="B175" s="112"/>
      <c r="D175" s="99" t="s">
        <v>87</v>
      </c>
      <c r="E175" s="113" t="s">
        <v>0</v>
      </c>
      <c r="F175" s="114" t="s">
        <v>410</v>
      </c>
      <c r="H175" s="115">
        <v>0.1</v>
      </c>
      <c r="I175" s="116"/>
      <c r="L175" s="112"/>
      <c r="M175" s="117"/>
      <c r="N175" s="118"/>
      <c r="O175" s="118"/>
      <c r="P175" s="118"/>
      <c r="Q175" s="118"/>
      <c r="R175" s="118"/>
      <c r="S175" s="118"/>
      <c r="T175" s="119"/>
      <c r="AT175" s="113" t="s">
        <v>87</v>
      </c>
      <c r="AU175" s="113" t="s">
        <v>47</v>
      </c>
      <c r="AV175" s="7" t="s">
        <v>47</v>
      </c>
      <c r="AW175" s="7" t="s">
        <v>19</v>
      </c>
      <c r="AX175" s="7" t="s">
        <v>45</v>
      </c>
      <c r="AY175" s="113" t="s">
        <v>75</v>
      </c>
    </row>
    <row r="176" spans="1:65" s="9" customFormat="1" x14ac:dyDescent="0.2">
      <c r="B176" s="128"/>
      <c r="D176" s="99" t="s">
        <v>87</v>
      </c>
      <c r="E176" s="129" t="s">
        <v>0</v>
      </c>
      <c r="F176" s="130" t="s">
        <v>103</v>
      </c>
      <c r="H176" s="131">
        <f>H173+H175</f>
        <v>3.6880000000000002</v>
      </c>
      <c r="I176" s="132"/>
      <c r="L176" s="128"/>
      <c r="M176" s="133"/>
      <c r="N176" s="134"/>
      <c r="O176" s="134"/>
      <c r="P176" s="134"/>
      <c r="Q176" s="134"/>
      <c r="R176" s="134"/>
      <c r="S176" s="134"/>
      <c r="T176" s="135"/>
      <c r="AT176" s="129" t="s">
        <v>87</v>
      </c>
      <c r="AU176" s="129" t="s">
        <v>47</v>
      </c>
      <c r="AV176" s="9" t="s">
        <v>83</v>
      </c>
      <c r="AW176" s="9" t="s">
        <v>19</v>
      </c>
      <c r="AX176" s="9" t="s">
        <v>46</v>
      </c>
      <c r="AY176" s="129" t="s">
        <v>75</v>
      </c>
    </row>
    <row r="177" spans="1:65" s="1" customFormat="1" ht="37.9" customHeight="1" x14ac:dyDescent="0.2">
      <c r="A177" s="156"/>
      <c r="B177" s="85"/>
      <c r="C177" s="86" t="s">
        <v>237</v>
      </c>
      <c r="D177" s="86" t="s">
        <v>78</v>
      </c>
      <c r="E177" s="87" t="s">
        <v>238</v>
      </c>
      <c r="F177" s="88" t="s">
        <v>239</v>
      </c>
      <c r="G177" s="89" t="s">
        <v>81</v>
      </c>
      <c r="H177" s="90">
        <v>0.36880000000000002</v>
      </c>
      <c r="I177" s="91">
        <v>282.06861194786097</v>
      </c>
      <c r="J177" s="92">
        <f>ROUND(I177*H177,2)</f>
        <v>104.03</v>
      </c>
      <c r="K177" s="88" t="s">
        <v>0</v>
      </c>
      <c r="L177" s="16"/>
      <c r="M177" s="93" t="s">
        <v>0</v>
      </c>
      <c r="N177" s="94" t="s">
        <v>27</v>
      </c>
      <c r="O177" s="27"/>
      <c r="P177" s="95">
        <f>O177*H177</f>
        <v>0</v>
      </c>
      <c r="Q177" s="95">
        <v>0</v>
      </c>
      <c r="R177" s="95">
        <f>Q177*H177</f>
        <v>0</v>
      </c>
      <c r="S177" s="95">
        <v>0</v>
      </c>
      <c r="T177" s="96">
        <f>S177*H177</f>
        <v>0</v>
      </c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R177" s="97" t="s">
        <v>83</v>
      </c>
      <c r="AT177" s="97" t="s">
        <v>78</v>
      </c>
      <c r="AU177" s="97" t="s">
        <v>47</v>
      </c>
      <c r="AY177" s="10" t="s">
        <v>75</v>
      </c>
      <c r="BE177" s="98">
        <f>IF(N177="základní",J177,0)</f>
        <v>104.03</v>
      </c>
      <c r="BF177" s="98">
        <f>IF(N177="snížená",J177,0)</f>
        <v>0</v>
      </c>
      <c r="BG177" s="98">
        <f>IF(N177="zákl. přenesená",J177,0)</f>
        <v>0</v>
      </c>
      <c r="BH177" s="98">
        <f>IF(N177="sníž. přenesená",J177,0)</f>
        <v>0</v>
      </c>
      <c r="BI177" s="98">
        <f>IF(N177="nulová",J177,0)</f>
        <v>0</v>
      </c>
      <c r="BJ177" s="10" t="s">
        <v>46</v>
      </c>
      <c r="BK177" s="98">
        <f>ROUND(I177*H177,2)</f>
        <v>104.03</v>
      </c>
      <c r="BL177" s="10" t="s">
        <v>83</v>
      </c>
      <c r="BM177" s="97" t="s">
        <v>240</v>
      </c>
    </row>
    <row r="178" spans="1:65" s="1" customFormat="1" ht="39" x14ac:dyDescent="0.2">
      <c r="A178" s="156"/>
      <c r="B178" s="16"/>
      <c r="C178" s="156"/>
      <c r="D178" s="99" t="s">
        <v>84</v>
      </c>
      <c r="E178" s="156"/>
      <c r="F178" s="100" t="s">
        <v>111</v>
      </c>
      <c r="G178" s="156"/>
      <c r="H178" s="156">
        <f>3.688*0.1</f>
        <v>0.36880000000000002</v>
      </c>
      <c r="I178" s="101"/>
      <c r="J178" s="156"/>
      <c r="K178" s="156"/>
      <c r="L178" s="16"/>
      <c r="M178" s="102"/>
      <c r="N178" s="103"/>
      <c r="O178" s="27"/>
      <c r="P178" s="27"/>
      <c r="Q178" s="27"/>
      <c r="R178" s="27"/>
      <c r="S178" s="27"/>
      <c r="T178" s="28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T178" s="10" t="s">
        <v>84</v>
      </c>
      <c r="AU178" s="10" t="s">
        <v>47</v>
      </c>
    </row>
    <row r="179" spans="1:65" s="1" customFormat="1" ht="37.9" customHeight="1" x14ac:dyDescent="0.2">
      <c r="A179" s="156"/>
      <c r="B179" s="85"/>
      <c r="C179" s="86" t="s">
        <v>77</v>
      </c>
      <c r="D179" s="86" t="s">
        <v>78</v>
      </c>
      <c r="E179" s="87" t="s">
        <v>113</v>
      </c>
      <c r="F179" s="88" t="s">
        <v>114</v>
      </c>
      <c r="G179" s="89" t="s">
        <v>81</v>
      </c>
      <c r="H179" s="90">
        <v>18.440000000000001</v>
      </c>
      <c r="I179" s="91">
        <v>3.4208109177592001</v>
      </c>
      <c r="J179" s="92">
        <f>ROUND(I179*H179,2)</f>
        <v>63.08</v>
      </c>
      <c r="K179" s="88" t="s">
        <v>82</v>
      </c>
      <c r="L179" s="16"/>
      <c r="M179" s="93" t="s">
        <v>0</v>
      </c>
      <c r="N179" s="94" t="s">
        <v>27</v>
      </c>
      <c r="O179" s="27"/>
      <c r="P179" s="95">
        <f>O179*H179</f>
        <v>0</v>
      </c>
      <c r="Q179" s="95">
        <v>0</v>
      </c>
      <c r="R179" s="95">
        <f>Q179*H179</f>
        <v>0</v>
      </c>
      <c r="S179" s="95">
        <v>0</v>
      </c>
      <c r="T179" s="96">
        <f>S179*H179</f>
        <v>0</v>
      </c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R179" s="97" t="s">
        <v>83</v>
      </c>
      <c r="AT179" s="97" t="s">
        <v>78</v>
      </c>
      <c r="AU179" s="97" t="s">
        <v>47</v>
      </c>
      <c r="AY179" s="10" t="s">
        <v>75</v>
      </c>
      <c r="BE179" s="98">
        <f>IF(N179="základní",J179,0)</f>
        <v>63.08</v>
      </c>
      <c r="BF179" s="98">
        <f>IF(N179="snížená",J179,0)</f>
        <v>0</v>
      </c>
      <c r="BG179" s="98">
        <f>IF(N179="zákl. přenesená",J179,0)</f>
        <v>0</v>
      </c>
      <c r="BH179" s="98">
        <f>IF(N179="sníž. přenesená",J179,0)</f>
        <v>0</v>
      </c>
      <c r="BI179" s="98">
        <f>IF(N179="nulová",J179,0)</f>
        <v>0</v>
      </c>
      <c r="BJ179" s="10" t="s">
        <v>46</v>
      </c>
      <c r="BK179" s="98">
        <f>ROUND(I179*H179,2)</f>
        <v>63.08</v>
      </c>
      <c r="BL179" s="10" t="s">
        <v>83</v>
      </c>
      <c r="BM179" s="97" t="s">
        <v>241</v>
      </c>
    </row>
    <row r="180" spans="1:65" s="1" customFormat="1" ht="48.75" x14ac:dyDescent="0.2">
      <c r="A180" s="156"/>
      <c r="B180" s="16"/>
      <c r="C180" s="156"/>
      <c r="D180" s="99" t="s">
        <v>84</v>
      </c>
      <c r="E180" s="156"/>
      <c r="F180" s="100" t="s">
        <v>115</v>
      </c>
      <c r="G180" s="156"/>
      <c r="H180" s="156"/>
      <c r="I180" s="101"/>
      <c r="J180" s="156"/>
      <c r="K180" s="156"/>
      <c r="L180" s="16"/>
      <c r="M180" s="102"/>
      <c r="N180" s="103"/>
      <c r="O180" s="27"/>
      <c r="P180" s="27"/>
      <c r="Q180" s="27"/>
      <c r="R180" s="27"/>
      <c r="S180" s="27"/>
      <c r="T180" s="28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T180" s="10" t="s">
        <v>84</v>
      </c>
      <c r="AU180" s="10" t="s">
        <v>47</v>
      </c>
    </row>
    <row r="181" spans="1:65" s="7" customFormat="1" x14ac:dyDescent="0.2">
      <c r="B181" s="112"/>
      <c r="D181" s="99" t="s">
        <v>87</v>
      </c>
      <c r="F181" s="114" t="s">
        <v>476</v>
      </c>
      <c r="H181" s="115">
        <f>3.688*5</f>
        <v>18.440000000000001</v>
      </c>
      <c r="I181" s="116"/>
      <c r="L181" s="112"/>
      <c r="M181" s="117"/>
      <c r="N181" s="118"/>
      <c r="O181" s="118"/>
      <c r="P181" s="118"/>
      <c r="Q181" s="118"/>
      <c r="R181" s="118"/>
      <c r="S181" s="118"/>
      <c r="T181" s="119"/>
      <c r="AT181" s="113" t="s">
        <v>87</v>
      </c>
      <c r="AU181" s="113" t="s">
        <v>47</v>
      </c>
      <c r="AV181" s="7" t="s">
        <v>47</v>
      </c>
      <c r="AW181" s="7" t="s">
        <v>1</v>
      </c>
      <c r="AX181" s="7" t="s">
        <v>46</v>
      </c>
      <c r="AY181" s="113" t="s">
        <v>75</v>
      </c>
    </row>
    <row r="182" spans="1:65" s="1" customFormat="1" ht="37.9" customHeight="1" x14ac:dyDescent="0.2">
      <c r="A182" s="156"/>
      <c r="B182" s="85"/>
      <c r="C182" s="86" t="s">
        <v>89</v>
      </c>
      <c r="D182" s="86" t="s">
        <v>78</v>
      </c>
      <c r="E182" s="87" t="s">
        <v>242</v>
      </c>
      <c r="F182" s="88" t="s">
        <v>243</v>
      </c>
      <c r="G182" s="89" t="s">
        <v>81</v>
      </c>
      <c r="H182" s="90">
        <v>1.8440000000000001</v>
      </c>
      <c r="I182" s="91">
        <v>3.4208109177592001</v>
      </c>
      <c r="J182" s="92">
        <f>ROUND(I182*H182,2)</f>
        <v>6.31</v>
      </c>
      <c r="K182" s="88" t="s">
        <v>0</v>
      </c>
      <c r="L182" s="16"/>
      <c r="M182" s="93" t="s">
        <v>0</v>
      </c>
      <c r="N182" s="94" t="s">
        <v>27</v>
      </c>
      <c r="O182" s="27"/>
      <c r="P182" s="95">
        <f>O182*H182</f>
        <v>0</v>
      </c>
      <c r="Q182" s="95">
        <v>0</v>
      </c>
      <c r="R182" s="95">
        <f>Q182*H182</f>
        <v>0</v>
      </c>
      <c r="S182" s="95">
        <v>0</v>
      </c>
      <c r="T182" s="96">
        <f>S182*H182</f>
        <v>0</v>
      </c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R182" s="97" t="s">
        <v>83</v>
      </c>
      <c r="AT182" s="97" t="s">
        <v>78</v>
      </c>
      <c r="AU182" s="97" t="s">
        <v>47</v>
      </c>
      <c r="AY182" s="10" t="s">
        <v>75</v>
      </c>
      <c r="BE182" s="98">
        <f>IF(N182="základní",J182,0)</f>
        <v>6.31</v>
      </c>
      <c r="BF182" s="98">
        <f>IF(N182="snížená",J182,0)</f>
        <v>0</v>
      </c>
      <c r="BG182" s="98">
        <f>IF(N182="zákl. přenesená",J182,0)</f>
        <v>0</v>
      </c>
      <c r="BH182" s="98">
        <f>IF(N182="sníž. přenesená",J182,0)</f>
        <v>0</v>
      </c>
      <c r="BI182" s="98">
        <f>IF(N182="nulová",J182,0)</f>
        <v>0</v>
      </c>
      <c r="BJ182" s="10" t="s">
        <v>46</v>
      </c>
      <c r="BK182" s="98">
        <f>ROUND(I182*H182,2)</f>
        <v>6.31</v>
      </c>
      <c r="BL182" s="10" t="s">
        <v>83</v>
      </c>
      <c r="BM182" s="97" t="s">
        <v>244</v>
      </c>
    </row>
    <row r="183" spans="1:65" s="1" customFormat="1" ht="48.75" x14ac:dyDescent="0.2">
      <c r="A183" s="156"/>
      <c r="B183" s="16"/>
      <c r="C183" s="156"/>
      <c r="D183" s="99" t="s">
        <v>84</v>
      </c>
      <c r="E183" s="156"/>
      <c r="F183" s="100" t="s">
        <v>115</v>
      </c>
      <c r="G183" s="156"/>
      <c r="H183" s="156"/>
      <c r="I183" s="101"/>
      <c r="J183" s="156"/>
      <c r="K183" s="156"/>
      <c r="L183" s="16"/>
      <c r="M183" s="102"/>
      <c r="N183" s="103"/>
      <c r="O183" s="27"/>
      <c r="P183" s="27"/>
      <c r="Q183" s="27"/>
      <c r="R183" s="27"/>
      <c r="S183" s="27"/>
      <c r="T183" s="28"/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T183" s="10" t="s">
        <v>84</v>
      </c>
      <c r="AU183" s="10" t="s">
        <v>47</v>
      </c>
    </row>
    <row r="184" spans="1:65" s="7" customFormat="1" x14ac:dyDescent="0.2">
      <c r="B184" s="112"/>
      <c r="D184" s="99" t="s">
        <v>87</v>
      </c>
      <c r="F184" s="114" t="s">
        <v>477</v>
      </c>
      <c r="H184" s="115">
        <f>0.3688*5</f>
        <v>1.8440000000000001</v>
      </c>
      <c r="I184" s="116"/>
      <c r="L184" s="112"/>
      <c r="M184" s="117"/>
      <c r="N184" s="118"/>
      <c r="O184" s="118"/>
      <c r="P184" s="118"/>
      <c r="Q184" s="118"/>
      <c r="R184" s="118"/>
      <c r="S184" s="118"/>
      <c r="T184" s="119"/>
      <c r="AT184" s="113" t="s">
        <v>87</v>
      </c>
      <c r="AU184" s="113" t="s">
        <v>47</v>
      </c>
      <c r="AV184" s="7" t="s">
        <v>47</v>
      </c>
      <c r="AW184" s="7" t="s">
        <v>1</v>
      </c>
      <c r="AX184" s="7" t="s">
        <v>46</v>
      </c>
      <c r="AY184" s="113" t="s">
        <v>75</v>
      </c>
    </row>
    <row r="185" spans="1:65" s="1" customFormat="1" ht="24.2" customHeight="1" x14ac:dyDescent="0.2">
      <c r="A185" s="156"/>
      <c r="B185" s="85"/>
      <c r="C185" s="86" t="s">
        <v>93</v>
      </c>
      <c r="D185" s="86" t="s">
        <v>78</v>
      </c>
      <c r="E185" s="87" t="s">
        <v>245</v>
      </c>
      <c r="F185" s="88" t="s">
        <v>246</v>
      </c>
      <c r="G185" s="89" t="s">
        <v>81</v>
      </c>
      <c r="H185" s="90">
        <v>0.36880000000000002</v>
      </c>
      <c r="I185" s="91">
        <v>43.080493951075745</v>
      </c>
      <c r="J185" s="92">
        <f>ROUND(I185*H185,2)</f>
        <v>15.89</v>
      </c>
      <c r="K185" s="88" t="s">
        <v>82</v>
      </c>
      <c r="L185" s="16"/>
      <c r="M185" s="93" t="s">
        <v>0</v>
      </c>
      <c r="N185" s="94" t="s">
        <v>27</v>
      </c>
      <c r="O185" s="27"/>
      <c r="P185" s="95">
        <f>O185*H185</f>
        <v>0</v>
      </c>
      <c r="Q185" s="95">
        <v>0</v>
      </c>
      <c r="R185" s="95">
        <f>Q185*H185</f>
        <v>0</v>
      </c>
      <c r="S185" s="95">
        <v>0</v>
      </c>
      <c r="T185" s="96">
        <f>S185*H185</f>
        <v>0</v>
      </c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R185" s="97" t="s">
        <v>83</v>
      </c>
      <c r="AT185" s="97" t="s">
        <v>78</v>
      </c>
      <c r="AU185" s="97" t="s">
        <v>47</v>
      </c>
      <c r="AY185" s="10" t="s">
        <v>75</v>
      </c>
      <c r="BE185" s="98">
        <f>IF(N185="základní",J185,0)</f>
        <v>15.89</v>
      </c>
      <c r="BF185" s="98">
        <f>IF(N185="snížená",J185,0)</f>
        <v>0</v>
      </c>
      <c r="BG185" s="98">
        <f>IF(N185="zákl. přenesená",J185,0)</f>
        <v>0</v>
      </c>
      <c r="BH185" s="98">
        <f>IF(N185="sníž. přenesená",J185,0)</f>
        <v>0</v>
      </c>
      <c r="BI185" s="98">
        <f>IF(N185="nulová",J185,0)</f>
        <v>0</v>
      </c>
      <c r="BJ185" s="10" t="s">
        <v>46</v>
      </c>
      <c r="BK185" s="98">
        <f>ROUND(I185*H185,2)</f>
        <v>15.89</v>
      </c>
      <c r="BL185" s="10" t="s">
        <v>83</v>
      </c>
      <c r="BM185" s="97" t="s">
        <v>247</v>
      </c>
    </row>
    <row r="186" spans="1:65" s="1" customFormat="1" ht="29.25" x14ac:dyDescent="0.2">
      <c r="A186" s="156"/>
      <c r="B186" s="16"/>
      <c r="C186" s="156"/>
      <c r="D186" s="99" t="s">
        <v>84</v>
      </c>
      <c r="E186" s="156"/>
      <c r="F186" s="100" t="s">
        <v>248</v>
      </c>
      <c r="G186" s="156"/>
      <c r="H186" s="156"/>
      <c r="I186" s="101"/>
      <c r="J186" s="156"/>
      <c r="K186" s="156"/>
      <c r="L186" s="16"/>
      <c r="M186" s="102"/>
      <c r="N186" s="103"/>
      <c r="O186" s="27"/>
      <c r="P186" s="27"/>
      <c r="Q186" s="27"/>
      <c r="R186" s="27"/>
      <c r="S186" s="27"/>
      <c r="T186" s="28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T186" s="10" t="s">
        <v>84</v>
      </c>
      <c r="AU186" s="10" t="s">
        <v>47</v>
      </c>
    </row>
    <row r="187" spans="1:65" s="1" customFormat="1" ht="24.2" customHeight="1" x14ac:dyDescent="0.2">
      <c r="A187" s="156"/>
      <c r="B187" s="85"/>
      <c r="C187" s="86" t="s">
        <v>4</v>
      </c>
      <c r="D187" s="86" t="s">
        <v>78</v>
      </c>
      <c r="E187" s="87" t="s">
        <v>154</v>
      </c>
      <c r="F187" s="88" t="s">
        <v>155</v>
      </c>
      <c r="G187" s="89" t="s">
        <v>100</v>
      </c>
      <c r="H187" s="90">
        <v>4</v>
      </c>
      <c r="I187" s="91">
        <v>6.3644601414457247</v>
      </c>
      <c r="J187" s="92">
        <f>ROUND(I187*H187,2)</f>
        <v>25.46</v>
      </c>
      <c r="K187" s="88" t="s">
        <v>82</v>
      </c>
      <c r="L187" s="16"/>
      <c r="M187" s="93" t="s">
        <v>0</v>
      </c>
      <c r="N187" s="94" t="s">
        <v>27</v>
      </c>
      <c r="O187" s="27"/>
      <c r="P187" s="95">
        <f>O187*H187</f>
        <v>0</v>
      </c>
      <c r="Q187" s="95">
        <v>0</v>
      </c>
      <c r="R187" s="95">
        <f>Q187*H187</f>
        <v>0</v>
      </c>
      <c r="S187" s="95">
        <v>0</v>
      </c>
      <c r="T187" s="96">
        <f>S187*H187</f>
        <v>0</v>
      </c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R187" s="97" t="s">
        <v>83</v>
      </c>
      <c r="AT187" s="97" t="s">
        <v>78</v>
      </c>
      <c r="AU187" s="97" t="s">
        <v>47</v>
      </c>
      <c r="AY187" s="10" t="s">
        <v>75</v>
      </c>
      <c r="BE187" s="98">
        <f>IF(N187="základní",J187,0)</f>
        <v>25.46</v>
      </c>
      <c r="BF187" s="98">
        <f>IF(N187="snížená",J187,0)</f>
        <v>0</v>
      </c>
      <c r="BG187" s="98">
        <f>IF(N187="zákl. přenesená",J187,0)</f>
        <v>0</v>
      </c>
      <c r="BH187" s="98">
        <f>IF(N187="sníž. přenesená",J187,0)</f>
        <v>0</v>
      </c>
      <c r="BI187" s="98">
        <f>IF(N187="nulová",J187,0)</f>
        <v>0</v>
      </c>
      <c r="BJ187" s="10" t="s">
        <v>46</v>
      </c>
      <c r="BK187" s="98">
        <f>ROUND(I187*H187,2)</f>
        <v>25.46</v>
      </c>
      <c r="BL187" s="10" t="s">
        <v>83</v>
      </c>
      <c r="BM187" s="97" t="s">
        <v>249</v>
      </c>
    </row>
    <row r="188" spans="1:65" s="1" customFormat="1" ht="19.5" x14ac:dyDescent="0.2">
      <c r="A188" s="156"/>
      <c r="B188" s="16"/>
      <c r="C188" s="156"/>
      <c r="D188" s="99" t="s">
        <v>84</v>
      </c>
      <c r="E188" s="156"/>
      <c r="F188" s="100" t="s">
        <v>156</v>
      </c>
      <c r="G188" s="156"/>
      <c r="H188" s="156"/>
      <c r="I188" s="101"/>
      <c r="J188" s="156"/>
      <c r="K188" s="156"/>
      <c r="L188" s="16"/>
      <c r="M188" s="102"/>
      <c r="N188" s="103"/>
      <c r="O188" s="27"/>
      <c r="P188" s="27"/>
      <c r="Q188" s="27"/>
      <c r="R188" s="27"/>
      <c r="S188" s="27"/>
      <c r="T188" s="28"/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T188" s="10" t="s">
        <v>84</v>
      </c>
      <c r="AU188" s="10" t="s">
        <v>47</v>
      </c>
    </row>
    <row r="189" spans="1:65" s="1" customFormat="1" ht="19.5" x14ac:dyDescent="0.2">
      <c r="A189" s="156"/>
      <c r="B189" s="16"/>
      <c r="C189" s="156"/>
      <c r="D189" s="99" t="s">
        <v>86</v>
      </c>
      <c r="E189" s="156"/>
      <c r="F189" s="104" t="s">
        <v>102</v>
      </c>
      <c r="G189" s="156"/>
      <c r="H189" s="156"/>
      <c r="I189" s="101"/>
      <c r="J189" s="156"/>
      <c r="K189" s="156"/>
      <c r="L189" s="16"/>
      <c r="M189" s="102"/>
      <c r="N189" s="103"/>
      <c r="O189" s="27"/>
      <c r="P189" s="27"/>
      <c r="Q189" s="27"/>
      <c r="R189" s="27"/>
      <c r="S189" s="27"/>
      <c r="T189" s="28"/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T189" s="10" t="s">
        <v>86</v>
      </c>
      <c r="AU189" s="10" t="s">
        <v>47</v>
      </c>
    </row>
    <row r="190" spans="1:65" s="7" customFormat="1" x14ac:dyDescent="0.2">
      <c r="B190" s="112"/>
      <c r="D190" s="99" t="s">
        <v>87</v>
      </c>
      <c r="E190" s="113" t="s">
        <v>0</v>
      </c>
      <c r="F190" s="114" t="s">
        <v>478</v>
      </c>
      <c r="H190" s="115">
        <v>4</v>
      </c>
      <c r="I190" s="116"/>
      <c r="L190" s="112"/>
      <c r="M190" s="117"/>
      <c r="N190" s="118"/>
      <c r="O190" s="118"/>
      <c r="P190" s="118"/>
      <c r="Q190" s="118"/>
      <c r="R190" s="118"/>
      <c r="S190" s="118"/>
      <c r="T190" s="119"/>
      <c r="AT190" s="113" t="s">
        <v>87</v>
      </c>
      <c r="AU190" s="113" t="s">
        <v>47</v>
      </c>
      <c r="AV190" s="7" t="s">
        <v>47</v>
      </c>
      <c r="AW190" s="7" t="s">
        <v>19</v>
      </c>
      <c r="AX190" s="7" t="s">
        <v>45</v>
      </c>
      <c r="AY190" s="113" t="s">
        <v>75</v>
      </c>
    </row>
    <row r="191" spans="1:65" s="9" customFormat="1" x14ac:dyDescent="0.2">
      <c r="B191" s="128"/>
      <c r="D191" s="99" t="s">
        <v>87</v>
      </c>
      <c r="E191" s="129" t="s">
        <v>0</v>
      </c>
      <c r="F191" s="130" t="s">
        <v>103</v>
      </c>
      <c r="H191" s="131">
        <v>4</v>
      </c>
      <c r="I191" s="132"/>
      <c r="L191" s="128"/>
      <c r="M191" s="133"/>
      <c r="N191" s="134"/>
      <c r="O191" s="134"/>
      <c r="P191" s="134"/>
      <c r="Q191" s="134"/>
      <c r="R191" s="134"/>
      <c r="S191" s="134"/>
      <c r="T191" s="135"/>
      <c r="AT191" s="129" t="s">
        <v>87</v>
      </c>
      <c r="AU191" s="129" t="s">
        <v>47</v>
      </c>
      <c r="AV191" s="9" t="s">
        <v>83</v>
      </c>
      <c r="AW191" s="9" t="s">
        <v>19</v>
      </c>
      <c r="AX191" s="9" t="s">
        <v>46</v>
      </c>
      <c r="AY191" s="129" t="s">
        <v>75</v>
      </c>
    </row>
    <row r="192" spans="1:65" s="1" customFormat="1" ht="24.2" customHeight="1" x14ac:dyDescent="0.2">
      <c r="A192" s="156"/>
      <c r="B192" s="85"/>
      <c r="C192" s="86" t="s">
        <v>104</v>
      </c>
      <c r="D192" s="86" t="s">
        <v>78</v>
      </c>
      <c r="E192" s="87" t="s">
        <v>117</v>
      </c>
      <c r="F192" s="88" t="s">
        <v>118</v>
      </c>
      <c r="G192" s="89" t="s">
        <v>119</v>
      </c>
      <c r="H192" s="90">
        <v>5.976</v>
      </c>
      <c r="I192" s="91">
        <v>110.6455721</v>
      </c>
      <c r="J192" s="92">
        <f>ROUND(I192*H192,2)</f>
        <v>661.22</v>
      </c>
      <c r="K192" s="88" t="s">
        <v>82</v>
      </c>
      <c r="L192" s="16"/>
      <c r="M192" s="93" t="s">
        <v>0</v>
      </c>
      <c r="N192" s="94" t="s">
        <v>27</v>
      </c>
      <c r="O192" s="27"/>
      <c r="P192" s="95">
        <f>O192*H192</f>
        <v>0</v>
      </c>
      <c r="Q192" s="95">
        <v>0</v>
      </c>
      <c r="R192" s="95">
        <f>Q192*H192</f>
        <v>0</v>
      </c>
      <c r="S192" s="95">
        <v>0</v>
      </c>
      <c r="T192" s="96">
        <f>S192*H192</f>
        <v>0</v>
      </c>
      <c r="U192" s="156"/>
      <c r="V192" s="156"/>
      <c r="W192" s="156"/>
      <c r="X192" s="156"/>
      <c r="Y192" s="156"/>
      <c r="Z192" s="156"/>
      <c r="AA192" s="156"/>
      <c r="AB192" s="156"/>
      <c r="AC192" s="156"/>
      <c r="AD192" s="156"/>
      <c r="AE192" s="156"/>
      <c r="AR192" s="97" t="s">
        <v>83</v>
      </c>
      <c r="AT192" s="97" t="s">
        <v>78</v>
      </c>
      <c r="AU192" s="97" t="s">
        <v>47</v>
      </c>
      <c r="AY192" s="10" t="s">
        <v>75</v>
      </c>
      <c r="BE192" s="98">
        <f>IF(N192="základní",J192,0)</f>
        <v>661.22</v>
      </c>
      <c r="BF192" s="98">
        <f>IF(N192="snížená",J192,0)</f>
        <v>0</v>
      </c>
      <c r="BG192" s="98">
        <f>IF(N192="zákl. přenesená",J192,0)</f>
        <v>0</v>
      </c>
      <c r="BH192" s="98">
        <f>IF(N192="sníž. přenesená",J192,0)</f>
        <v>0</v>
      </c>
      <c r="BI192" s="98">
        <f>IF(N192="nulová",J192,0)</f>
        <v>0</v>
      </c>
      <c r="BJ192" s="10" t="s">
        <v>46</v>
      </c>
      <c r="BK192" s="98">
        <f>ROUND(I192*H192,2)</f>
        <v>661.22</v>
      </c>
      <c r="BL192" s="10" t="s">
        <v>83</v>
      </c>
      <c r="BM192" s="97" t="s">
        <v>251</v>
      </c>
    </row>
    <row r="193" spans="1:65" s="1" customFormat="1" ht="29.25" x14ac:dyDescent="0.2">
      <c r="A193" s="156"/>
      <c r="B193" s="16"/>
      <c r="C193" s="156"/>
      <c r="D193" s="99" t="s">
        <v>84</v>
      </c>
      <c r="E193" s="156"/>
      <c r="F193" s="100" t="s">
        <v>120</v>
      </c>
      <c r="G193" s="156"/>
      <c r="H193" s="156"/>
      <c r="I193" s="101"/>
      <c r="J193" s="156"/>
      <c r="K193" s="156"/>
      <c r="L193" s="16"/>
      <c r="M193" s="102"/>
      <c r="N193" s="103"/>
      <c r="O193" s="27"/>
      <c r="P193" s="27"/>
      <c r="Q193" s="27"/>
      <c r="R193" s="27"/>
      <c r="S193" s="27"/>
      <c r="T193" s="28"/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T193" s="10" t="s">
        <v>84</v>
      </c>
      <c r="AU193" s="10" t="s">
        <v>47</v>
      </c>
    </row>
    <row r="194" spans="1:65" s="6" customFormat="1" x14ac:dyDescent="0.2">
      <c r="B194" s="105"/>
      <c r="D194" s="99" t="s">
        <v>87</v>
      </c>
      <c r="E194" s="106" t="s">
        <v>0</v>
      </c>
      <c r="F194" s="107" t="s">
        <v>252</v>
      </c>
      <c r="H194" s="106" t="s">
        <v>0</v>
      </c>
      <c r="I194" s="108"/>
      <c r="L194" s="105"/>
      <c r="M194" s="109"/>
      <c r="N194" s="110"/>
      <c r="O194" s="110"/>
      <c r="P194" s="110"/>
      <c r="Q194" s="110"/>
      <c r="R194" s="110"/>
      <c r="S194" s="110"/>
      <c r="T194" s="111"/>
      <c r="AT194" s="106" t="s">
        <v>87</v>
      </c>
      <c r="AU194" s="106" t="s">
        <v>47</v>
      </c>
      <c r="AV194" s="6" t="s">
        <v>46</v>
      </c>
      <c r="AW194" s="6" t="s">
        <v>19</v>
      </c>
      <c r="AX194" s="6" t="s">
        <v>45</v>
      </c>
      <c r="AY194" s="106" t="s">
        <v>75</v>
      </c>
    </row>
    <row r="195" spans="1:65" s="7" customFormat="1" x14ac:dyDescent="0.2">
      <c r="B195" s="112"/>
      <c r="D195" s="99" t="s">
        <v>87</v>
      </c>
      <c r="E195" s="113" t="s">
        <v>0</v>
      </c>
      <c r="F195" s="114">
        <v>3.6880000000000002</v>
      </c>
      <c r="H195" s="115">
        <v>3.6880000000000002</v>
      </c>
      <c r="I195" s="116"/>
      <c r="L195" s="112"/>
      <c r="M195" s="117"/>
      <c r="N195" s="118"/>
      <c r="O195" s="118"/>
      <c r="P195" s="118"/>
      <c r="Q195" s="118"/>
      <c r="R195" s="118"/>
      <c r="S195" s="118"/>
      <c r="T195" s="119"/>
      <c r="AT195" s="113" t="s">
        <v>87</v>
      </c>
      <c r="AU195" s="113" t="s">
        <v>47</v>
      </c>
      <c r="AV195" s="7" t="s">
        <v>47</v>
      </c>
      <c r="AW195" s="7" t="s">
        <v>19</v>
      </c>
      <c r="AX195" s="7" t="s">
        <v>45</v>
      </c>
      <c r="AY195" s="113" t="s">
        <v>75</v>
      </c>
    </row>
    <row r="196" spans="1:65" s="6" customFormat="1" x14ac:dyDescent="0.2">
      <c r="B196" s="105"/>
      <c r="D196" s="99" t="s">
        <v>87</v>
      </c>
      <c r="E196" s="106" t="s">
        <v>0</v>
      </c>
      <c r="F196" s="107" t="s">
        <v>253</v>
      </c>
      <c r="H196" s="106" t="s">
        <v>0</v>
      </c>
      <c r="I196" s="108"/>
      <c r="L196" s="105"/>
      <c r="M196" s="109"/>
      <c r="N196" s="110"/>
      <c r="O196" s="110"/>
      <c r="P196" s="110"/>
      <c r="Q196" s="110"/>
      <c r="R196" s="110"/>
      <c r="S196" s="110"/>
      <c r="T196" s="111"/>
      <c r="AT196" s="106" t="s">
        <v>87</v>
      </c>
      <c r="AU196" s="106" t="s">
        <v>47</v>
      </c>
      <c r="AV196" s="6" t="s">
        <v>46</v>
      </c>
      <c r="AW196" s="6" t="s">
        <v>19</v>
      </c>
      <c r="AX196" s="6" t="s">
        <v>45</v>
      </c>
      <c r="AY196" s="106" t="s">
        <v>75</v>
      </c>
    </row>
    <row r="197" spans="1:65" s="7" customFormat="1" x14ac:dyDescent="0.2">
      <c r="B197" s="112"/>
      <c r="D197" s="99" t="s">
        <v>87</v>
      </c>
      <c r="E197" s="113" t="s">
        <v>0</v>
      </c>
      <c r="F197" s="114">
        <v>-0.36799999999999999</v>
      </c>
      <c r="H197" s="115">
        <v>-0.36799999999999999</v>
      </c>
      <c r="I197" s="116"/>
      <c r="L197" s="112"/>
      <c r="M197" s="117"/>
      <c r="N197" s="118"/>
      <c r="O197" s="118"/>
      <c r="P197" s="118"/>
      <c r="Q197" s="118"/>
      <c r="R197" s="118"/>
      <c r="S197" s="118"/>
      <c r="T197" s="119"/>
      <c r="AT197" s="113" t="s">
        <v>87</v>
      </c>
      <c r="AU197" s="113" t="s">
        <v>47</v>
      </c>
      <c r="AV197" s="7" t="s">
        <v>47</v>
      </c>
      <c r="AW197" s="7" t="s">
        <v>19</v>
      </c>
      <c r="AX197" s="7" t="s">
        <v>45</v>
      </c>
      <c r="AY197" s="113" t="s">
        <v>75</v>
      </c>
    </row>
    <row r="198" spans="1:65" s="9" customFormat="1" x14ac:dyDescent="0.2">
      <c r="B198" s="128"/>
      <c r="D198" s="99" t="s">
        <v>87</v>
      </c>
      <c r="E198" s="129" t="s">
        <v>0</v>
      </c>
      <c r="F198" s="130" t="s">
        <v>103</v>
      </c>
      <c r="H198" s="131">
        <f>H195+H197</f>
        <v>3.3200000000000003</v>
      </c>
      <c r="I198" s="132"/>
      <c r="L198" s="128"/>
      <c r="M198" s="133"/>
      <c r="N198" s="134"/>
      <c r="O198" s="134"/>
      <c r="P198" s="134"/>
      <c r="Q198" s="134"/>
      <c r="R198" s="134"/>
      <c r="S198" s="134"/>
      <c r="T198" s="135"/>
      <c r="AT198" s="129" t="s">
        <v>87</v>
      </c>
      <c r="AU198" s="129" t="s">
        <v>47</v>
      </c>
      <c r="AV198" s="9" t="s">
        <v>83</v>
      </c>
      <c r="AW198" s="9" t="s">
        <v>19</v>
      </c>
      <c r="AX198" s="9" t="s">
        <v>46</v>
      </c>
      <c r="AY198" s="129" t="s">
        <v>75</v>
      </c>
    </row>
    <row r="199" spans="1:65" s="7" customFormat="1" x14ac:dyDescent="0.2">
      <c r="B199" s="112"/>
      <c r="D199" s="99" t="s">
        <v>87</v>
      </c>
      <c r="F199" s="114" t="s">
        <v>479</v>
      </c>
      <c r="H199" s="115">
        <f>3.32*1.8</f>
        <v>5.976</v>
      </c>
      <c r="I199" s="116"/>
      <c r="L199" s="112"/>
      <c r="M199" s="117"/>
      <c r="N199" s="118"/>
      <c r="O199" s="118"/>
      <c r="P199" s="118"/>
      <c r="Q199" s="118"/>
      <c r="R199" s="118"/>
      <c r="S199" s="118"/>
      <c r="T199" s="119"/>
      <c r="AT199" s="113" t="s">
        <v>87</v>
      </c>
      <c r="AU199" s="113" t="s">
        <v>47</v>
      </c>
      <c r="AV199" s="7" t="s">
        <v>47</v>
      </c>
      <c r="AW199" s="7" t="s">
        <v>1</v>
      </c>
      <c r="AX199" s="7" t="s">
        <v>46</v>
      </c>
      <c r="AY199" s="113" t="s">
        <v>75</v>
      </c>
    </row>
    <row r="200" spans="1:65" s="1" customFormat="1" ht="24.2" customHeight="1" x14ac:dyDescent="0.2">
      <c r="A200" s="156"/>
      <c r="B200" s="85"/>
      <c r="C200" s="86" t="s">
        <v>108</v>
      </c>
      <c r="D200" s="86" t="s">
        <v>78</v>
      </c>
      <c r="E200" s="87" t="s">
        <v>121</v>
      </c>
      <c r="F200" s="88" t="s">
        <v>122</v>
      </c>
      <c r="G200" s="89" t="s">
        <v>81</v>
      </c>
      <c r="H200" s="90">
        <v>2.94</v>
      </c>
      <c r="I200" s="91">
        <v>140.64048227116101</v>
      </c>
      <c r="J200" s="92">
        <f>ROUND(I200*H200,2)</f>
        <v>413.48</v>
      </c>
      <c r="K200" s="88" t="s">
        <v>82</v>
      </c>
      <c r="L200" s="16"/>
      <c r="M200" s="93" t="s">
        <v>0</v>
      </c>
      <c r="N200" s="94" t="s">
        <v>27</v>
      </c>
      <c r="O200" s="27"/>
      <c r="P200" s="95">
        <f>O200*H200</f>
        <v>0</v>
      </c>
      <c r="Q200" s="95">
        <v>0</v>
      </c>
      <c r="R200" s="95">
        <f>Q200*H200</f>
        <v>0</v>
      </c>
      <c r="S200" s="95">
        <v>0</v>
      </c>
      <c r="T200" s="96">
        <f>S200*H200</f>
        <v>0</v>
      </c>
      <c r="U200" s="156"/>
      <c r="V200" s="156"/>
      <c r="W200" s="156"/>
      <c r="X200" s="156"/>
      <c r="Y200" s="156"/>
      <c r="Z200" s="156"/>
      <c r="AA200" s="156"/>
      <c r="AB200" s="156"/>
      <c r="AC200" s="156"/>
      <c r="AD200" s="156"/>
      <c r="AE200" s="156"/>
      <c r="AR200" s="97" t="s">
        <v>83</v>
      </c>
      <c r="AT200" s="97" t="s">
        <v>78</v>
      </c>
      <c r="AU200" s="97" t="s">
        <v>47</v>
      </c>
      <c r="AY200" s="10" t="s">
        <v>75</v>
      </c>
      <c r="BE200" s="98">
        <f>IF(N200="základní",J200,0)</f>
        <v>413.48</v>
      </c>
      <c r="BF200" s="98">
        <f>IF(N200="snížená",J200,0)</f>
        <v>0</v>
      </c>
      <c r="BG200" s="98">
        <f>IF(N200="zákl. přenesená",J200,0)</f>
        <v>0</v>
      </c>
      <c r="BH200" s="98">
        <f>IF(N200="sníž. přenesená",J200,0)</f>
        <v>0</v>
      </c>
      <c r="BI200" s="98">
        <f>IF(N200="nulová",J200,0)</f>
        <v>0</v>
      </c>
      <c r="BJ200" s="10" t="s">
        <v>46</v>
      </c>
      <c r="BK200" s="98">
        <f>ROUND(I200*H200,2)</f>
        <v>413.48</v>
      </c>
      <c r="BL200" s="10" t="s">
        <v>83</v>
      </c>
      <c r="BM200" s="97" t="s">
        <v>254</v>
      </c>
    </row>
    <row r="201" spans="1:65" s="1" customFormat="1" ht="29.25" x14ac:dyDescent="0.2">
      <c r="A201" s="156"/>
      <c r="B201" s="16"/>
      <c r="C201" s="156"/>
      <c r="D201" s="99" t="s">
        <v>84</v>
      </c>
      <c r="E201" s="156"/>
      <c r="F201" s="100" t="s">
        <v>123</v>
      </c>
      <c r="G201" s="156"/>
      <c r="H201" s="156"/>
      <c r="I201" s="101"/>
      <c r="J201" s="156"/>
      <c r="K201" s="156"/>
      <c r="L201" s="16"/>
      <c r="M201" s="102"/>
      <c r="N201" s="103"/>
      <c r="O201" s="27"/>
      <c r="P201" s="27"/>
      <c r="Q201" s="27"/>
      <c r="R201" s="27"/>
      <c r="S201" s="27"/>
      <c r="T201" s="28"/>
      <c r="U201" s="156"/>
      <c r="V201" s="156"/>
      <c r="W201" s="156"/>
      <c r="X201" s="156"/>
      <c r="Y201" s="156"/>
      <c r="Z201" s="156"/>
      <c r="AA201" s="156"/>
      <c r="AB201" s="156"/>
      <c r="AC201" s="156"/>
      <c r="AD201" s="156"/>
      <c r="AE201" s="156"/>
      <c r="AT201" s="10" t="s">
        <v>84</v>
      </c>
      <c r="AU201" s="10" t="s">
        <v>47</v>
      </c>
    </row>
    <row r="202" spans="1:65" s="6" customFormat="1" x14ac:dyDescent="0.2">
      <c r="B202" s="105"/>
      <c r="D202" s="99" t="s">
        <v>87</v>
      </c>
      <c r="E202" s="106" t="s">
        <v>0</v>
      </c>
      <c r="F202" s="107" t="s">
        <v>124</v>
      </c>
      <c r="H202" s="106" t="s">
        <v>0</v>
      </c>
      <c r="I202" s="108"/>
      <c r="L202" s="105"/>
      <c r="M202" s="109"/>
      <c r="N202" s="110"/>
      <c r="O202" s="110"/>
      <c r="P202" s="110"/>
      <c r="Q202" s="110"/>
      <c r="R202" s="110"/>
      <c r="S202" s="110"/>
      <c r="T202" s="111"/>
      <c r="AT202" s="106" t="s">
        <v>87</v>
      </c>
      <c r="AU202" s="106" t="s">
        <v>47</v>
      </c>
      <c r="AV202" s="6" t="s">
        <v>46</v>
      </c>
      <c r="AW202" s="6" t="s">
        <v>19</v>
      </c>
      <c r="AX202" s="6" t="s">
        <v>45</v>
      </c>
      <c r="AY202" s="106" t="s">
        <v>75</v>
      </c>
    </row>
    <row r="203" spans="1:65" s="7" customFormat="1" x14ac:dyDescent="0.2">
      <c r="B203" s="112"/>
      <c r="D203" s="99" t="s">
        <v>87</v>
      </c>
      <c r="E203" s="113" t="s">
        <v>0</v>
      </c>
      <c r="F203" s="114" t="s">
        <v>475</v>
      </c>
      <c r="H203" s="115">
        <f>1.794+1.794</f>
        <v>3.5880000000000001</v>
      </c>
      <c r="I203" s="116"/>
      <c r="L203" s="112"/>
      <c r="M203" s="117"/>
      <c r="N203" s="118"/>
      <c r="O203" s="118"/>
      <c r="P203" s="118"/>
      <c r="Q203" s="118"/>
      <c r="R203" s="118"/>
      <c r="S203" s="118"/>
      <c r="T203" s="119"/>
      <c r="AT203" s="113" t="s">
        <v>87</v>
      </c>
      <c r="AU203" s="113" t="s">
        <v>47</v>
      </c>
      <c r="AV203" s="7" t="s">
        <v>47</v>
      </c>
      <c r="AW203" s="7" t="s">
        <v>19</v>
      </c>
      <c r="AX203" s="7" t="s">
        <v>45</v>
      </c>
      <c r="AY203" s="113" t="s">
        <v>75</v>
      </c>
    </row>
    <row r="204" spans="1:65" s="6" customFormat="1" x14ac:dyDescent="0.2">
      <c r="B204" s="105"/>
      <c r="D204" s="99" t="s">
        <v>87</v>
      </c>
      <c r="E204" s="106" t="s">
        <v>0</v>
      </c>
      <c r="F204" s="107" t="s">
        <v>157</v>
      </c>
      <c r="H204" s="106" t="s">
        <v>0</v>
      </c>
      <c r="I204" s="108"/>
      <c r="L204" s="105"/>
      <c r="M204" s="109"/>
      <c r="N204" s="110"/>
      <c r="O204" s="110"/>
      <c r="P204" s="110"/>
      <c r="Q204" s="110"/>
      <c r="R204" s="110"/>
      <c r="S204" s="110"/>
      <c r="T204" s="111"/>
      <c r="AT204" s="106" t="s">
        <v>87</v>
      </c>
      <c r="AU204" s="106" t="s">
        <v>47</v>
      </c>
      <c r="AV204" s="6" t="s">
        <v>46</v>
      </c>
      <c r="AW204" s="6" t="s">
        <v>19</v>
      </c>
      <c r="AX204" s="6" t="s">
        <v>45</v>
      </c>
      <c r="AY204" s="106" t="s">
        <v>75</v>
      </c>
    </row>
    <row r="205" spans="1:65" s="7" customFormat="1" x14ac:dyDescent="0.2">
      <c r="B205" s="112"/>
      <c r="D205" s="99" t="s">
        <v>87</v>
      </c>
      <c r="E205" s="113" t="s">
        <v>0</v>
      </c>
      <c r="F205" s="114">
        <v>-0.90500000000000003</v>
      </c>
      <c r="H205" s="115">
        <v>-0.90500000000000003</v>
      </c>
      <c r="I205" s="116"/>
      <c r="L205" s="112"/>
      <c r="M205" s="117"/>
      <c r="N205" s="118"/>
      <c r="O205" s="118"/>
      <c r="P205" s="118"/>
      <c r="Q205" s="118"/>
      <c r="R205" s="118"/>
      <c r="S205" s="118"/>
      <c r="T205" s="119"/>
      <c r="AT205" s="113" t="s">
        <v>87</v>
      </c>
      <c r="AU205" s="113" t="s">
        <v>47</v>
      </c>
      <c r="AV205" s="7" t="s">
        <v>47</v>
      </c>
      <c r="AW205" s="7" t="s">
        <v>19</v>
      </c>
      <c r="AX205" s="7" t="s">
        <v>45</v>
      </c>
      <c r="AY205" s="113" t="s">
        <v>75</v>
      </c>
    </row>
    <row r="206" spans="1:65" s="6" customFormat="1" x14ac:dyDescent="0.2">
      <c r="B206" s="105"/>
      <c r="D206" s="99" t="s">
        <v>87</v>
      </c>
      <c r="E206" s="106" t="s">
        <v>0</v>
      </c>
      <c r="F206" s="107" t="s">
        <v>158</v>
      </c>
      <c r="H206" s="106" t="s">
        <v>0</v>
      </c>
      <c r="I206" s="108"/>
      <c r="L206" s="105"/>
      <c r="M206" s="109"/>
      <c r="N206" s="110"/>
      <c r="O206" s="110"/>
      <c r="P206" s="110"/>
      <c r="Q206" s="110"/>
      <c r="R206" s="110"/>
      <c r="S206" s="110"/>
      <c r="T206" s="111"/>
      <c r="AT206" s="106" t="s">
        <v>87</v>
      </c>
      <c r="AU206" s="106" t="s">
        <v>47</v>
      </c>
      <c r="AV206" s="6" t="s">
        <v>46</v>
      </c>
      <c r="AW206" s="6" t="s">
        <v>19</v>
      </c>
      <c r="AX206" s="6" t="s">
        <v>45</v>
      </c>
      <c r="AY206" s="106" t="s">
        <v>75</v>
      </c>
    </row>
    <row r="207" spans="1:65" s="7" customFormat="1" x14ac:dyDescent="0.2">
      <c r="B207" s="112"/>
      <c r="D207" s="99" t="s">
        <v>87</v>
      </c>
      <c r="E207" s="113" t="s">
        <v>0</v>
      </c>
      <c r="F207" s="114">
        <v>-0.20100000000000001</v>
      </c>
      <c r="H207" s="115">
        <v>-0.20100000000000001</v>
      </c>
      <c r="I207" s="116"/>
      <c r="L207" s="112"/>
      <c r="M207" s="117"/>
      <c r="N207" s="118"/>
      <c r="O207" s="118"/>
      <c r="P207" s="118"/>
      <c r="Q207" s="118"/>
      <c r="R207" s="118"/>
      <c r="S207" s="118"/>
      <c r="T207" s="119"/>
      <c r="AT207" s="113" t="s">
        <v>87</v>
      </c>
      <c r="AU207" s="113" t="s">
        <v>47</v>
      </c>
      <c r="AV207" s="7" t="s">
        <v>47</v>
      </c>
      <c r="AW207" s="7" t="s">
        <v>19</v>
      </c>
      <c r="AX207" s="7" t="s">
        <v>45</v>
      </c>
      <c r="AY207" s="113" t="s">
        <v>75</v>
      </c>
    </row>
    <row r="208" spans="1:65" s="6" customFormat="1" x14ac:dyDescent="0.2">
      <c r="B208" s="105"/>
      <c r="D208" s="99" t="s">
        <v>87</v>
      </c>
      <c r="E208" s="106" t="s">
        <v>0</v>
      </c>
      <c r="F208" s="107" t="s">
        <v>159</v>
      </c>
      <c r="H208" s="106" t="s">
        <v>0</v>
      </c>
      <c r="I208" s="108"/>
      <c r="L208" s="105"/>
      <c r="M208" s="109"/>
      <c r="N208" s="110"/>
      <c r="O208" s="110"/>
      <c r="P208" s="110"/>
      <c r="Q208" s="110"/>
      <c r="R208" s="110"/>
      <c r="S208" s="110"/>
      <c r="T208" s="111"/>
      <c r="AT208" s="106" t="s">
        <v>87</v>
      </c>
      <c r="AU208" s="106" t="s">
        <v>47</v>
      </c>
      <c r="AV208" s="6" t="s">
        <v>46</v>
      </c>
      <c r="AW208" s="6" t="s">
        <v>19</v>
      </c>
      <c r="AX208" s="6" t="s">
        <v>45</v>
      </c>
      <c r="AY208" s="106" t="s">
        <v>75</v>
      </c>
    </row>
    <row r="209" spans="1:65" s="7" customFormat="1" x14ac:dyDescent="0.2">
      <c r="B209" s="112"/>
      <c r="D209" s="99" t="s">
        <v>87</v>
      </c>
      <c r="E209" s="113" t="s">
        <v>0</v>
      </c>
      <c r="F209" s="114">
        <v>-0.22500000000000001</v>
      </c>
      <c r="H209" s="115">
        <v>-0.22500000000000001</v>
      </c>
      <c r="I209" s="116"/>
      <c r="L209" s="112"/>
      <c r="M209" s="117"/>
      <c r="N209" s="118"/>
      <c r="O209" s="118"/>
      <c r="P209" s="118"/>
      <c r="Q209" s="118"/>
      <c r="R209" s="118"/>
      <c r="S209" s="118"/>
      <c r="T209" s="119"/>
      <c r="AT209" s="113" t="s">
        <v>87</v>
      </c>
      <c r="AU209" s="113" t="s">
        <v>47</v>
      </c>
      <c r="AV209" s="7" t="s">
        <v>47</v>
      </c>
      <c r="AW209" s="7" t="s">
        <v>19</v>
      </c>
      <c r="AX209" s="7" t="s">
        <v>45</v>
      </c>
      <c r="AY209" s="113" t="s">
        <v>75</v>
      </c>
    </row>
    <row r="210" spans="1:65" s="7" customFormat="1" x14ac:dyDescent="0.2">
      <c r="B210" s="112"/>
      <c r="D210" s="99" t="s">
        <v>87</v>
      </c>
      <c r="E210" s="113" t="s">
        <v>0</v>
      </c>
      <c r="F210" s="114" t="s">
        <v>484</v>
      </c>
      <c r="H210" s="115">
        <v>-0.121</v>
      </c>
      <c r="I210" s="116"/>
      <c r="L210" s="112"/>
      <c r="M210" s="117"/>
      <c r="N210" s="118"/>
      <c r="O210" s="118"/>
      <c r="P210" s="118"/>
      <c r="Q210" s="118"/>
      <c r="R210" s="118"/>
      <c r="S210" s="118"/>
      <c r="T210" s="119"/>
      <c r="AT210" s="113" t="s">
        <v>87</v>
      </c>
      <c r="AU210" s="113" t="s">
        <v>47</v>
      </c>
      <c r="AV210" s="7" t="s">
        <v>47</v>
      </c>
      <c r="AW210" s="7" t="s">
        <v>19</v>
      </c>
      <c r="AX210" s="7" t="s">
        <v>45</v>
      </c>
      <c r="AY210" s="113" t="s">
        <v>75</v>
      </c>
    </row>
    <row r="211" spans="1:65" s="7" customFormat="1" x14ac:dyDescent="0.2">
      <c r="B211" s="112"/>
      <c r="D211" s="99"/>
      <c r="E211" s="113"/>
      <c r="F211" s="107" t="s">
        <v>160</v>
      </c>
      <c r="G211" s="6"/>
      <c r="H211" s="106" t="s">
        <v>0</v>
      </c>
      <c r="I211" s="116"/>
      <c r="L211" s="112"/>
      <c r="M211" s="117"/>
      <c r="N211" s="118"/>
      <c r="O211" s="118"/>
      <c r="P211" s="118"/>
      <c r="Q211" s="118"/>
      <c r="R211" s="118"/>
      <c r="S211" s="118"/>
      <c r="T211" s="119"/>
      <c r="AT211" s="113"/>
      <c r="AU211" s="113"/>
      <c r="AY211" s="113"/>
    </row>
    <row r="212" spans="1:65" s="7" customFormat="1" x14ac:dyDescent="0.2">
      <c r="B212" s="112"/>
      <c r="D212" s="99"/>
      <c r="E212" s="113"/>
      <c r="F212" s="114" t="s">
        <v>485</v>
      </c>
      <c r="H212" s="115">
        <f>2.01*0.4</f>
        <v>0.80399999999999994</v>
      </c>
      <c r="I212" s="116"/>
      <c r="L212" s="112"/>
      <c r="M212" s="117"/>
      <c r="N212" s="118"/>
      <c r="O212" s="118"/>
      <c r="P212" s="118"/>
      <c r="Q212" s="118"/>
      <c r="R212" s="118"/>
      <c r="S212" s="118"/>
      <c r="T212" s="119"/>
      <c r="AT212" s="113"/>
      <c r="AU212" s="113"/>
      <c r="AY212" s="113"/>
    </row>
    <row r="213" spans="1:65" s="9" customFormat="1" x14ac:dyDescent="0.2">
      <c r="B213" s="128"/>
      <c r="D213" s="99" t="s">
        <v>87</v>
      </c>
      <c r="E213" s="129" t="s">
        <v>0</v>
      </c>
      <c r="F213" s="130" t="s">
        <v>103</v>
      </c>
      <c r="H213" s="131">
        <f>SUM(H203:H212)</f>
        <v>2.9399999999999995</v>
      </c>
      <c r="I213" s="132"/>
      <c r="L213" s="128"/>
      <c r="M213" s="133"/>
      <c r="N213" s="134"/>
      <c r="O213" s="134"/>
      <c r="P213" s="134"/>
      <c r="Q213" s="134"/>
      <c r="R213" s="134"/>
      <c r="S213" s="134"/>
      <c r="T213" s="135"/>
      <c r="AT213" s="129" t="s">
        <v>87</v>
      </c>
      <c r="AU213" s="129" t="s">
        <v>47</v>
      </c>
      <c r="AV213" s="9" t="s">
        <v>83</v>
      </c>
      <c r="AW213" s="9" t="s">
        <v>19</v>
      </c>
      <c r="AX213" s="9" t="s">
        <v>46</v>
      </c>
      <c r="AY213" s="129" t="s">
        <v>75</v>
      </c>
    </row>
    <row r="214" spans="1:65" s="1" customFormat="1" ht="14.45" customHeight="1" x14ac:dyDescent="0.2">
      <c r="A214" s="156"/>
      <c r="B214" s="85"/>
      <c r="C214" s="136" t="s">
        <v>112</v>
      </c>
      <c r="D214" s="136" t="s">
        <v>126</v>
      </c>
      <c r="E214" s="137" t="s">
        <v>127</v>
      </c>
      <c r="F214" s="138" t="s">
        <v>128</v>
      </c>
      <c r="G214" s="139" t="s">
        <v>119</v>
      </c>
      <c r="H214" s="140">
        <v>5.88</v>
      </c>
      <c r="I214" s="141">
        <v>390.0974172</v>
      </c>
      <c r="J214" s="142">
        <f>ROUND(I214*H214,2)</f>
        <v>2293.77</v>
      </c>
      <c r="K214" s="138" t="s">
        <v>82</v>
      </c>
      <c r="L214" s="143"/>
      <c r="M214" s="144" t="s">
        <v>0</v>
      </c>
      <c r="N214" s="145" t="s">
        <v>27</v>
      </c>
      <c r="O214" s="27"/>
      <c r="P214" s="95">
        <f>O214*H214</f>
        <v>0</v>
      </c>
      <c r="Q214" s="95">
        <v>1</v>
      </c>
      <c r="R214" s="95">
        <f>Q214*H214</f>
        <v>5.88</v>
      </c>
      <c r="S214" s="95">
        <v>0</v>
      </c>
      <c r="T214" s="96">
        <f>S214*H214</f>
        <v>0</v>
      </c>
      <c r="U214" s="156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R214" s="97" t="s">
        <v>129</v>
      </c>
      <c r="AT214" s="97" t="s">
        <v>126</v>
      </c>
      <c r="AU214" s="97" t="s">
        <v>47</v>
      </c>
      <c r="AY214" s="10" t="s">
        <v>75</v>
      </c>
      <c r="BE214" s="98">
        <f>IF(N214="základní",J214,0)</f>
        <v>2293.77</v>
      </c>
      <c r="BF214" s="98">
        <f>IF(N214="snížená",J214,0)</f>
        <v>0</v>
      </c>
      <c r="BG214" s="98">
        <f>IF(N214="zákl. přenesená",J214,0)</f>
        <v>0</v>
      </c>
      <c r="BH214" s="98">
        <f>IF(N214="sníž. přenesená",J214,0)</f>
        <v>0</v>
      </c>
      <c r="BI214" s="98">
        <f>IF(N214="nulová",J214,0)</f>
        <v>0</v>
      </c>
      <c r="BJ214" s="10" t="s">
        <v>46</v>
      </c>
      <c r="BK214" s="98">
        <f>ROUND(I214*H214,2)</f>
        <v>2293.77</v>
      </c>
      <c r="BL214" s="10" t="s">
        <v>83</v>
      </c>
      <c r="BM214" s="97" t="s">
        <v>256</v>
      </c>
    </row>
    <row r="215" spans="1:65" s="1" customFormat="1" x14ac:dyDescent="0.2">
      <c r="A215" s="156"/>
      <c r="B215" s="16"/>
      <c r="C215" s="156"/>
      <c r="D215" s="99" t="s">
        <v>84</v>
      </c>
      <c r="E215" s="156"/>
      <c r="F215" s="100" t="s">
        <v>128</v>
      </c>
      <c r="G215" s="156"/>
      <c r="H215" s="156"/>
      <c r="I215" s="101"/>
      <c r="J215" s="156"/>
      <c r="K215" s="156"/>
      <c r="L215" s="16"/>
      <c r="M215" s="102"/>
      <c r="N215" s="103"/>
      <c r="O215" s="27"/>
      <c r="P215" s="27"/>
      <c r="Q215" s="27"/>
      <c r="R215" s="27"/>
      <c r="S215" s="27"/>
      <c r="T215" s="28"/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T215" s="10" t="s">
        <v>84</v>
      </c>
      <c r="AU215" s="10" t="s">
        <v>47</v>
      </c>
    </row>
    <row r="216" spans="1:65" s="1" customFormat="1" ht="19.5" x14ac:dyDescent="0.2">
      <c r="A216" s="156"/>
      <c r="B216" s="16"/>
      <c r="C216" s="156"/>
      <c r="D216" s="99" t="s">
        <v>86</v>
      </c>
      <c r="E216" s="156"/>
      <c r="F216" s="104" t="s">
        <v>130</v>
      </c>
      <c r="G216" s="156"/>
      <c r="H216" s="156"/>
      <c r="I216" s="101"/>
      <c r="J216" s="156"/>
      <c r="K216" s="156"/>
      <c r="L216" s="16"/>
      <c r="M216" s="102"/>
      <c r="N216" s="103"/>
      <c r="O216" s="27"/>
      <c r="P216" s="27"/>
      <c r="Q216" s="27"/>
      <c r="R216" s="27"/>
      <c r="S216" s="27"/>
      <c r="T216" s="28"/>
      <c r="U216" s="156"/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/>
      <c r="AT216" s="10" t="s">
        <v>86</v>
      </c>
      <c r="AU216" s="10" t="s">
        <v>47</v>
      </c>
    </row>
    <row r="217" spans="1:65" s="7" customFormat="1" x14ac:dyDescent="0.2">
      <c r="B217" s="112"/>
      <c r="D217" s="99" t="s">
        <v>87</v>
      </c>
      <c r="F217" s="114" t="s">
        <v>486</v>
      </c>
      <c r="H217" s="115">
        <f>H200*2</f>
        <v>5.88</v>
      </c>
      <c r="I217" s="116"/>
      <c r="L217" s="112"/>
      <c r="M217" s="117"/>
      <c r="N217" s="118"/>
      <c r="O217" s="118"/>
      <c r="P217" s="118"/>
      <c r="Q217" s="118"/>
      <c r="R217" s="118"/>
      <c r="S217" s="118"/>
      <c r="T217" s="119"/>
      <c r="AT217" s="113" t="s">
        <v>87</v>
      </c>
      <c r="AU217" s="113" t="s">
        <v>47</v>
      </c>
      <c r="AV217" s="7" t="s">
        <v>47</v>
      </c>
      <c r="AW217" s="7" t="s">
        <v>1</v>
      </c>
      <c r="AX217" s="7" t="s">
        <v>46</v>
      </c>
      <c r="AY217" s="113" t="s">
        <v>75</v>
      </c>
    </row>
    <row r="218" spans="1:65" s="1" customFormat="1" ht="24.2" customHeight="1" x14ac:dyDescent="0.2">
      <c r="A218" s="156"/>
      <c r="B218" s="85"/>
      <c r="C218" s="86" t="s">
        <v>139</v>
      </c>
      <c r="D218" s="86" t="s">
        <v>78</v>
      </c>
      <c r="E218" s="87" t="s">
        <v>162</v>
      </c>
      <c r="F218" s="88" t="s">
        <v>163</v>
      </c>
      <c r="G218" s="89" t="s">
        <v>81</v>
      </c>
      <c r="H218" s="90">
        <v>0.90500000000000003</v>
      </c>
      <c r="I218" s="91">
        <v>510.38291484661499</v>
      </c>
      <c r="J218" s="92">
        <f>ROUND(I218*H218,2)</f>
        <v>461.9</v>
      </c>
      <c r="K218" s="88" t="s">
        <v>82</v>
      </c>
      <c r="L218" s="16"/>
      <c r="M218" s="93" t="s">
        <v>0</v>
      </c>
      <c r="N218" s="94" t="s">
        <v>27</v>
      </c>
      <c r="O218" s="27"/>
      <c r="P218" s="95">
        <f>O218*H218</f>
        <v>0</v>
      </c>
      <c r="Q218" s="95">
        <v>0</v>
      </c>
      <c r="R218" s="95">
        <f>Q218*H218</f>
        <v>0</v>
      </c>
      <c r="S218" s="95">
        <v>0</v>
      </c>
      <c r="T218" s="96">
        <f>S218*H218</f>
        <v>0</v>
      </c>
      <c r="U218" s="156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R218" s="97" t="s">
        <v>83</v>
      </c>
      <c r="AT218" s="97" t="s">
        <v>78</v>
      </c>
      <c r="AU218" s="97" t="s">
        <v>47</v>
      </c>
      <c r="AY218" s="10" t="s">
        <v>75</v>
      </c>
      <c r="BE218" s="98">
        <f>IF(N218="základní",J218,0)</f>
        <v>461.9</v>
      </c>
      <c r="BF218" s="98">
        <f>IF(N218="snížená",J218,0)</f>
        <v>0</v>
      </c>
      <c r="BG218" s="98">
        <f>IF(N218="zákl. přenesená",J218,0)</f>
        <v>0</v>
      </c>
      <c r="BH218" s="98">
        <f>IF(N218="sníž. přenesená",J218,0)</f>
        <v>0</v>
      </c>
      <c r="BI218" s="98">
        <f>IF(N218="nulová",J218,0)</f>
        <v>0</v>
      </c>
      <c r="BJ218" s="10" t="s">
        <v>46</v>
      </c>
      <c r="BK218" s="98">
        <f>ROUND(I218*H218,2)</f>
        <v>461.9</v>
      </c>
      <c r="BL218" s="10" t="s">
        <v>83</v>
      </c>
      <c r="BM218" s="97" t="s">
        <v>257</v>
      </c>
    </row>
    <row r="219" spans="1:65" s="1" customFormat="1" ht="39" x14ac:dyDescent="0.2">
      <c r="A219" s="156"/>
      <c r="B219" s="16"/>
      <c r="C219" s="156"/>
      <c r="D219" s="99" t="s">
        <v>84</v>
      </c>
      <c r="E219" s="156"/>
      <c r="F219" s="100" t="s">
        <v>164</v>
      </c>
      <c r="G219" s="156"/>
      <c r="H219" s="156"/>
      <c r="I219" s="101"/>
      <c r="J219" s="156"/>
      <c r="K219" s="156"/>
      <c r="L219" s="16"/>
      <c r="M219" s="102"/>
      <c r="N219" s="103"/>
      <c r="O219" s="27"/>
      <c r="P219" s="27"/>
      <c r="Q219" s="27"/>
      <c r="R219" s="27"/>
      <c r="S219" s="27"/>
      <c r="T219" s="28"/>
      <c r="U219" s="156"/>
      <c r="V219" s="156"/>
      <c r="W219" s="156"/>
      <c r="X219" s="156"/>
      <c r="Y219" s="156"/>
      <c r="Z219" s="156"/>
      <c r="AA219" s="156"/>
      <c r="AB219" s="156"/>
      <c r="AC219" s="156"/>
      <c r="AD219" s="156"/>
      <c r="AE219" s="156"/>
      <c r="AT219" s="10" t="s">
        <v>84</v>
      </c>
      <c r="AU219" s="10" t="s">
        <v>47</v>
      </c>
    </row>
    <row r="220" spans="1:65" s="1" customFormat="1" ht="29.25" x14ac:dyDescent="0.2">
      <c r="A220" s="156"/>
      <c r="B220" s="16"/>
      <c r="C220" s="156"/>
      <c r="D220" s="99" t="s">
        <v>86</v>
      </c>
      <c r="E220" s="156"/>
      <c r="F220" s="104" t="s">
        <v>217</v>
      </c>
      <c r="G220" s="156"/>
      <c r="H220" s="156"/>
      <c r="I220" s="101"/>
      <c r="J220" s="156"/>
      <c r="K220" s="156"/>
      <c r="L220" s="16"/>
      <c r="M220" s="102"/>
      <c r="N220" s="103"/>
      <c r="O220" s="27"/>
      <c r="P220" s="27"/>
      <c r="Q220" s="27"/>
      <c r="R220" s="27"/>
      <c r="S220" s="27"/>
      <c r="T220" s="28"/>
      <c r="U220" s="156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T220" s="10" t="s">
        <v>86</v>
      </c>
      <c r="AU220" s="10" t="s">
        <v>47</v>
      </c>
    </row>
    <row r="221" spans="1:65" s="7" customFormat="1" x14ac:dyDescent="0.2">
      <c r="B221" s="112"/>
      <c r="D221" s="99" t="s">
        <v>87</v>
      </c>
      <c r="E221" s="113" t="s">
        <v>0</v>
      </c>
      <c r="F221" s="114" t="s">
        <v>480</v>
      </c>
      <c r="H221" s="115">
        <f>2.01*1*0.45</f>
        <v>0.90449999999999997</v>
      </c>
      <c r="I221" s="116"/>
      <c r="L221" s="112"/>
      <c r="M221" s="117"/>
      <c r="N221" s="118"/>
      <c r="O221" s="118"/>
      <c r="P221" s="118"/>
      <c r="Q221" s="118"/>
      <c r="R221" s="118"/>
      <c r="S221" s="118"/>
      <c r="T221" s="119"/>
      <c r="AT221" s="113" t="s">
        <v>87</v>
      </c>
      <c r="AU221" s="113" t="s">
        <v>47</v>
      </c>
      <c r="AV221" s="7" t="s">
        <v>47</v>
      </c>
      <c r="AW221" s="7" t="s">
        <v>19</v>
      </c>
      <c r="AX221" s="7" t="s">
        <v>46</v>
      </c>
      <c r="AY221" s="113" t="s">
        <v>75</v>
      </c>
    </row>
    <row r="222" spans="1:65" s="1" customFormat="1" ht="14.45" customHeight="1" x14ac:dyDescent="0.2">
      <c r="A222" s="156"/>
      <c r="B222" s="85"/>
      <c r="C222" s="136" t="s">
        <v>116</v>
      </c>
      <c r="D222" s="136" t="s">
        <v>126</v>
      </c>
      <c r="E222" s="137" t="s">
        <v>144</v>
      </c>
      <c r="F222" s="138" t="s">
        <v>145</v>
      </c>
      <c r="G222" s="139" t="s">
        <v>119</v>
      </c>
      <c r="H222" s="140">
        <v>1.81</v>
      </c>
      <c r="I222" s="141">
        <v>380.62816190000001</v>
      </c>
      <c r="J222" s="142">
        <f>ROUND(I222*H222,2)</f>
        <v>688.94</v>
      </c>
      <c r="K222" s="138" t="s">
        <v>82</v>
      </c>
      <c r="L222" s="143"/>
      <c r="M222" s="144" t="s">
        <v>0</v>
      </c>
      <c r="N222" s="145" t="s">
        <v>27</v>
      </c>
      <c r="O222" s="27"/>
      <c r="P222" s="95">
        <f>O222*H222</f>
        <v>0</v>
      </c>
      <c r="Q222" s="95">
        <v>1</v>
      </c>
      <c r="R222" s="95">
        <f>Q222*H222</f>
        <v>1.81</v>
      </c>
      <c r="S222" s="95">
        <v>0</v>
      </c>
      <c r="T222" s="96">
        <f>S222*H222</f>
        <v>0</v>
      </c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R222" s="97" t="s">
        <v>129</v>
      </c>
      <c r="AT222" s="97" t="s">
        <v>126</v>
      </c>
      <c r="AU222" s="97" t="s">
        <v>47</v>
      </c>
      <c r="AY222" s="10" t="s">
        <v>75</v>
      </c>
      <c r="BE222" s="98">
        <f>IF(N222="základní",J222,0)</f>
        <v>688.94</v>
      </c>
      <c r="BF222" s="98">
        <f>IF(N222="snížená",J222,0)</f>
        <v>0</v>
      </c>
      <c r="BG222" s="98">
        <f>IF(N222="zákl. přenesená",J222,0)</f>
        <v>0</v>
      </c>
      <c r="BH222" s="98">
        <f>IF(N222="sníž. přenesená",J222,0)</f>
        <v>0</v>
      </c>
      <c r="BI222" s="98">
        <f>IF(N222="nulová",J222,0)</f>
        <v>0</v>
      </c>
      <c r="BJ222" s="10" t="s">
        <v>46</v>
      </c>
      <c r="BK222" s="98">
        <f>ROUND(I222*H222,2)</f>
        <v>688.94</v>
      </c>
      <c r="BL222" s="10" t="s">
        <v>83</v>
      </c>
      <c r="BM222" s="97" t="s">
        <v>258</v>
      </c>
    </row>
    <row r="223" spans="1:65" s="1" customFormat="1" x14ac:dyDescent="0.2">
      <c r="A223" s="156"/>
      <c r="B223" s="16"/>
      <c r="C223" s="156"/>
      <c r="D223" s="99" t="s">
        <v>84</v>
      </c>
      <c r="E223" s="156"/>
      <c r="F223" s="100" t="s">
        <v>145</v>
      </c>
      <c r="G223" s="156"/>
      <c r="H223" s="156"/>
      <c r="I223" s="101"/>
      <c r="J223" s="156"/>
      <c r="K223" s="156"/>
      <c r="L223" s="16"/>
      <c r="M223" s="102"/>
      <c r="N223" s="103"/>
      <c r="O223" s="27"/>
      <c r="P223" s="27"/>
      <c r="Q223" s="27"/>
      <c r="R223" s="27"/>
      <c r="S223" s="27"/>
      <c r="T223" s="28"/>
      <c r="U223" s="156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T223" s="10" t="s">
        <v>84</v>
      </c>
      <c r="AU223" s="10" t="s">
        <v>47</v>
      </c>
    </row>
    <row r="224" spans="1:65" s="7" customFormat="1" x14ac:dyDescent="0.2">
      <c r="B224" s="112"/>
      <c r="D224" s="99" t="s">
        <v>87</v>
      </c>
      <c r="F224" s="114" t="s">
        <v>481</v>
      </c>
      <c r="H224" s="115">
        <f>0.905*2</f>
        <v>1.81</v>
      </c>
      <c r="I224" s="116"/>
      <c r="L224" s="112"/>
      <c r="M224" s="117"/>
      <c r="N224" s="118"/>
      <c r="O224" s="118"/>
      <c r="P224" s="118"/>
      <c r="Q224" s="118"/>
      <c r="R224" s="118"/>
      <c r="S224" s="118"/>
      <c r="T224" s="119"/>
      <c r="AT224" s="113" t="s">
        <v>87</v>
      </c>
      <c r="AU224" s="113" t="s">
        <v>47</v>
      </c>
      <c r="AV224" s="7" t="s">
        <v>47</v>
      </c>
      <c r="AW224" s="7" t="s">
        <v>1</v>
      </c>
      <c r="AX224" s="7" t="s">
        <v>46</v>
      </c>
      <c r="AY224" s="113" t="s">
        <v>75</v>
      </c>
    </row>
    <row r="225" spans="1:65" s="1" customFormat="1" ht="24.2" customHeight="1" x14ac:dyDescent="0.2">
      <c r="A225" s="156"/>
      <c r="B225" s="85"/>
      <c r="C225" s="86" t="s">
        <v>3</v>
      </c>
      <c r="D225" s="86" t="s">
        <v>78</v>
      </c>
      <c r="E225" s="87" t="s">
        <v>259</v>
      </c>
      <c r="F225" s="88" t="s">
        <v>260</v>
      </c>
      <c r="G225" s="89" t="s">
        <v>100</v>
      </c>
      <c r="H225" s="90">
        <v>1</v>
      </c>
      <c r="I225" s="91">
        <v>64.410667599999996</v>
      </c>
      <c r="J225" s="92">
        <f>ROUND(I225*H225,2)</f>
        <v>64.41</v>
      </c>
      <c r="K225" s="88" t="s">
        <v>0</v>
      </c>
      <c r="L225" s="16"/>
      <c r="M225" s="93" t="s">
        <v>0</v>
      </c>
      <c r="N225" s="94" t="s">
        <v>27</v>
      </c>
      <c r="O225" s="27"/>
      <c r="P225" s="95">
        <f>O225*H225</f>
        <v>0</v>
      </c>
      <c r="Q225" s="95">
        <v>0</v>
      </c>
      <c r="R225" s="95">
        <f>Q225*H225</f>
        <v>0</v>
      </c>
      <c r="S225" s="95">
        <v>0</v>
      </c>
      <c r="T225" s="96">
        <f>S225*H225</f>
        <v>0</v>
      </c>
      <c r="U225" s="156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R225" s="97" t="s">
        <v>83</v>
      </c>
      <c r="AT225" s="97" t="s">
        <v>78</v>
      </c>
      <c r="AU225" s="97" t="s">
        <v>47</v>
      </c>
      <c r="AY225" s="10" t="s">
        <v>75</v>
      </c>
      <c r="BE225" s="98">
        <f>IF(N225="základní",J225,0)</f>
        <v>64.41</v>
      </c>
      <c r="BF225" s="98">
        <f>IF(N225="snížená",J225,0)</f>
        <v>0</v>
      </c>
      <c r="BG225" s="98">
        <f>IF(N225="zákl. přenesená",J225,0)</f>
        <v>0</v>
      </c>
      <c r="BH225" s="98">
        <f>IF(N225="sníž. přenesená",J225,0)</f>
        <v>0</v>
      </c>
      <c r="BI225" s="98">
        <f>IF(N225="nulová",J225,0)</f>
        <v>0</v>
      </c>
      <c r="BJ225" s="10" t="s">
        <v>46</v>
      </c>
      <c r="BK225" s="98">
        <f>ROUND(I225*H225,2)</f>
        <v>64.41</v>
      </c>
      <c r="BL225" s="10" t="s">
        <v>83</v>
      </c>
      <c r="BM225" s="97" t="s">
        <v>261</v>
      </c>
    </row>
    <row r="226" spans="1:65" s="1" customFormat="1" x14ac:dyDescent="0.2">
      <c r="A226" s="156"/>
      <c r="B226" s="16"/>
      <c r="C226" s="156"/>
      <c r="D226" s="99" t="s">
        <v>84</v>
      </c>
      <c r="E226" s="156"/>
      <c r="F226" s="100" t="s">
        <v>260</v>
      </c>
      <c r="G226" s="156"/>
      <c r="H226" s="156"/>
      <c r="I226" s="101"/>
      <c r="J226" s="156"/>
      <c r="K226" s="156"/>
      <c r="L226" s="16"/>
      <c r="M226" s="102"/>
      <c r="N226" s="103"/>
      <c r="O226" s="27"/>
      <c r="P226" s="27"/>
      <c r="Q226" s="27"/>
      <c r="R226" s="27"/>
      <c r="S226" s="27"/>
      <c r="T226" s="28"/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T226" s="10" t="s">
        <v>84</v>
      </c>
      <c r="AU226" s="10" t="s">
        <v>47</v>
      </c>
    </row>
    <row r="227" spans="1:65" s="1" customFormat="1" ht="24.2" customHeight="1" x14ac:dyDescent="0.2">
      <c r="A227" s="156"/>
      <c r="B227" s="85"/>
      <c r="C227" s="86" t="s">
        <v>125</v>
      </c>
      <c r="D227" s="86" t="s">
        <v>78</v>
      </c>
      <c r="E227" s="87" t="s">
        <v>262</v>
      </c>
      <c r="F227" s="88" t="s">
        <v>263</v>
      </c>
      <c r="G227" s="89" t="s">
        <v>100</v>
      </c>
      <c r="H227" s="90">
        <v>1</v>
      </c>
      <c r="I227" s="91">
        <v>48.300657632010001</v>
      </c>
      <c r="J227" s="92">
        <f>ROUND(I227*H227,2)</f>
        <v>48.3</v>
      </c>
      <c r="K227" s="88" t="s">
        <v>82</v>
      </c>
      <c r="L227" s="16"/>
      <c r="M227" s="93" t="s">
        <v>0</v>
      </c>
      <c r="N227" s="94" t="s">
        <v>27</v>
      </c>
      <c r="O227" s="27"/>
      <c r="P227" s="95">
        <f>O227*H227</f>
        <v>0</v>
      </c>
      <c r="Q227" s="95">
        <v>0</v>
      </c>
      <c r="R227" s="95">
        <f>Q227*H227</f>
        <v>0</v>
      </c>
      <c r="S227" s="95">
        <v>0</v>
      </c>
      <c r="T227" s="96">
        <f>S227*H227</f>
        <v>0</v>
      </c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R227" s="97" t="s">
        <v>83</v>
      </c>
      <c r="AT227" s="97" t="s">
        <v>78</v>
      </c>
      <c r="AU227" s="97" t="s">
        <v>47</v>
      </c>
      <c r="AY227" s="10" t="s">
        <v>75</v>
      </c>
      <c r="BE227" s="98">
        <f>IF(N227="základní",J227,0)</f>
        <v>48.3</v>
      </c>
      <c r="BF227" s="98">
        <f>IF(N227="snížená",J227,0)</f>
        <v>0</v>
      </c>
      <c r="BG227" s="98">
        <f>IF(N227="zákl. přenesená",J227,0)</f>
        <v>0</v>
      </c>
      <c r="BH227" s="98">
        <f>IF(N227="sníž. přenesená",J227,0)</f>
        <v>0</v>
      </c>
      <c r="BI227" s="98">
        <f>IF(N227="nulová",J227,0)</f>
        <v>0</v>
      </c>
      <c r="BJ227" s="10" t="s">
        <v>46</v>
      </c>
      <c r="BK227" s="98">
        <f>ROUND(I227*H227,2)</f>
        <v>48.3</v>
      </c>
      <c r="BL227" s="10" t="s">
        <v>83</v>
      </c>
      <c r="BM227" s="97" t="s">
        <v>264</v>
      </c>
    </row>
    <row r="228" spans="1:65" s="1" customFormat="1" ht="29.25" x14ac:dyDescent="0.2">
      <c r="A228" s="156"/>
      <c r="B228" s="16"/>
      <c r="C228" s="156"/>
      <c r="D228" s="99" t="s">
        <v>84</v>
      </c>
      <c r="E228" s="156"/>
      <c r="F228" s="100" t="s">
        <v>265</v>
      </c>
      <c r="G228" s="156"/>
      <c r="H228" s="156"/>
      <c r="I228" s="101"/>
      <c r="J228" s="156"/>
      <c r="K228" s="156"/>
      <c r="L228" s="16"/>
      <c r="M228" s="102"/>
      <c r="N228" s="103"/>
      <c r="O228" s="27"/>
      <c r="P228" s="27"/>
      <c r="Q228" s="27"/>
      <c r="R228" s="27"/>
      <c r="S228" s="27"/>
      <c r="T228" s="28"/>
      <c r="U228" s="156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T228" s="10" t="s">
        <v>84</v>
      </c>
      <c r="AU228" s="10" t="s">
        <v>47</v>
      </c>
    </row>
    <row r="229" spans="1:65" s="1" customFormat="1" ht="24.2" customHeight="1" x14ac:dyDescent="0.2">
      <c r="A229" s="156"/>
      <c r="B229" s="85"/>
      <c r="C229" s="86" t="s">
        <v>141</v>
      </c>
      <c r="D229" s="86" t="s">
        <v>78</v>
      </c>
      <c r="E229" s="87" t="s">
        <v>132</v>
      </c>
      <c r="F229" s="88" t="s">
        <v>133</v>
      </c>
      <c r="G229" s="89" t="s">
        <v>119</v>
      </c>
      <c r="H229" s="90">
        <v>7.69</v>
      </c>
      <c r="I229" s="91">
        <v>61.737071122597108</v>
      </c>
      <c r="J229" s="92">
        <f>ROUND(I229*H229,2)</f>
        <v>474.76</v>
      </c>
      <c r="K229" s="88" t="s">
        <v>82</v>
      </c>
      <c r="L229" s="16"/>
      <c r="M229" s="93" t="s">
        <v>0</v>
      </c>
      <c r="N229" s="94" t="s">
        <v>27</v>
      </c>
      <c r="O229" s="27"/>
      <c r="P229" s="95">
        <f>O229*H229</f>
        <v>0</v>
      </c>
      <c r="Q229" s="95">
        <v>0</v>
      </c>
      <c r="R229" s="95">
        <f>Q229*H229</f>
        <v>0</v>
      </c>
      <c r="S229" s="95">
        <v>0</v>
      </c>
      <c r="T229" s="96">
        <f>S229*H229</f>
        <v>0</v>
      </c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R229" s="97" t="s">
        <v>83</v>
      </c>
      <c r="AT229" s="97" t="s">
        <v>78</v>
      </c>
      <c r="AU229" s="97" t="s">
        <v>47</v>
      </c>
      <c r="AY229" s="10" t="s">
        <v>75</v>
      </c>
      <c r="BE229" s="98">
        <f>IF(N229="základní",J229,0)</f>
        <v>474.76</v>
      </c>
      <c r="BF229" s="98">
        <f>IF(N229="snížená",J229,0)</f>
        <v>0</v>
      </c>
      <c r="BG229" s="98">
        <f>IF(N229="zákl. přenesená",J229,0)</f>
        <v>0</v>
      </c>
      <c r="BH229" s="98">
        <f>IF(N229="sníž. přenesená",J229,0)</f>
        <v>0</v>
      </c>
      <c r="BI229" s="98">
        <f>IF(N229="nulová",J229,0)</f>
        <v>0</v>
      </c>
      <c r="BJ229" s="10" t="s">
        <v>46</v>
      </c>
      <c r="BK229" s="98">
        <f>ROUND(I229*H229,2)</f>
        <v>474.76</v>
      </c>
      <c r="BL229" s="10" t="s">
        <v>83</v>
      </c>
      <c r="BM229" s="97" t="s">
        <v>266</v>
      </c>
    </row>
    <row r="230" spans="1:65" s="1" customFormat="1" ht="29.25" x14ac:dyDescent="0.2">
      <c r="A230" s="156"/>
      <c r="B230" s="16"/>
      <c r="C230" s="156"/>
      <c r="D230" s="99" t="s">
        <v>84</v>
      </c>
      <c r="E230" s="156"/>
      <c r="F230" s="100" t="s">
        <v>134</v>
      </c>
      <c r="G230" s="156"/>
      <c r="H230" s="156"/>
      <c r="I230" s="101"/>
      <c r="J230" s="156"/>
      <c r="K230" s="156"/>
      <c r="L230" s="16"/>
      <c r="M230" s="102"/>
      <c r="N230" s="103"/>
      <c r="O230" s="27"/>
      <c r="P230" s="27"/>
      <c r="Q230" s="27"/>
      <c r="R230" s="27"/>
      <c r="S230" s="27"/>
      <c r="T230" s="28"/>
      <c r="U230" s="156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T230" s="10" t="s">
        <v>84</v>
      </c>
      <c r="AU230" s="10" t="s">
        <v>47</v>
      </c>
    </row>
    <row r="231" spans="1:65" s="7" customFormat="1" x14ac:dyDescent="0.2">
      <c r="B231" s="112"/>
      <c r="D231" s="99" t="s">
        <v>87</v>
      </c>
      <c r="E231" s="113" t="s">
        <v>0</v>
      </c>
      <c r="F231" s="114" t="s">
        <v>487</v>
      </c>
      <c r="H231" s="115">
        <f>5.88+1.81</f>
        <v>7.6899999999999995</v>
      </c>
      <c r="I231" s="116"/>
      <c r="L231" s="112"/>
      <c r="M231" s="117"/>
      <c r="N231" s="118"/>
      <c r="O231" s="118"/>
      <c r="P231" s="118"/>
      <c r="Q231" s="118"/>
      <c r="R231" s="118"/>
      <c r="S231" s="118"/>
      <c r="T231" s="119"/>
      <c r="AT231" s="113" t="s">
        <v>87</v>
      </c>
      <c r="AU231" s="113" t="s">
        <v>47</v>
      </c>
      <c r="AV231" s="7" t="s">
        <v>47</v>
      </c>
      <c r="AW231" s="7" t="s">
        <v>19</v>
      </c>
      <c r="AX231" s="7" t="s">
        <v>46</v>
      </c>
      <c r="AY231" s="113" t="s">
        <v>75</v>
      </c>
    </row>
    <row r="232" spans="1:65" s="5" customFormat="1" ht="22.9" customHeight="1" x14ac:dyDescent="0.2">
      <c r="B232" s="72"/>
      <c r="D232" s="73" t="s">
        <v>44</v>
      </c>
      <c r="E232" s="83" t="s">
        <v>47</v>
      </c>
      <c r="F232" s="83" t="s">
        <v>267</v>
      </c>
      <c r="I232" s="75"/>
      <c r="J232" s="84">
        <f>BK232</f>
        <v>530.78</v>
      </c>
      <c r="L232" s="72"/>
      <c r="M232" s="77"/>
      <c r="N232" s="78"/>
      <c r="O232" s="78"/>
      <c r="P232" s="79">
        <f>SUM(P233:P233)</f>
        <v>0</v>
      </c>
      <c r="Q232" s="78"/>
      <c r="R232" s="79">
        <f>SUM(R233:R233)</f>
        <v>0.41142689999999998</v>
      </c>
      <c r="S232" s="78"/>
      <c r="T232" s="80">
        <f>SUM(T233:T233)</f>
        <v>0</v>
      </c>
      <c r="AR232" s="73" t="s">
        <v>46</v>
      </c>
      <c r="AT232" s="81" t="s">
        <v>44</v>
      </c>
      <c r="AU232" s="81" t="s">
        <v>46</v>
      </c>
      <c r="AY232" s="73" t="s">
        <v>75</v>
      </c>
      <c r="BK232" s="82">
        <f>SUM(BK233:BK233)</f>
        <v>530.78</v>
      </c>
    </row>
    <row r="233" spans="1:65" s="1" customFormat="1" ht="37.9" customHeight="1" x14ac:dyDescent="0.2">
      <c r="A233" s="156"/>
      <c r="B233" s="85"/>
      <c r="C233" s="86" t="s">
        <v>161</v>
      </c>
      <c r="D233" s="86" t="s">
        <v>78</v>
      </c>
      <c r="E233" s="87" t="s">
        <v>268</v>
      </c>
      <c r="F233" s="88" t="s">
        <v>269</v>
      </c>
      <c r="G233" s="89" t="s">
        <v>270</v>
      </c>
      <c r="H233" s="90">
        <v>2.0099999999999998</v>
      </c>
      <c r="I233" s="91">
        <v>264.06831423630393</v>
      </c>
      <c r="J233" s="92">
        <f>ROUND(I233*H233,2)</f>
        <v>530.78</v>
      </c>
      <c r="K233" s="88" t="s">
        <v>82</v>
      </c>
      <c r="L233" s="16"/>
      <c r="M233" s="93" t="s">
        <v>0</v>
      </c>
      <c r="N233" s="94" t="s">
        <v>27</v>
      </c>
      <c r="O233" s="27"/>
      <c r="P233" s="95">
        <f>O233*H233</f>
        <v>0</v>
      </c>
      <c r="Q233" s="95">
        <v>0.20469000000000001</v>
      </c>
      <c r="R233" s="95">
        <f>Q233*H233</f>
        <v>0.41142689999999998</v>
      </c>
      <c r="S233" s="95">
        <v>0</v>
      </c>
      <c r="T233" s="96">
        <f>S233*H233</f>
        <v>0</v>
      </c>
      <c r="U233" s="156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R233" s="97" t="s">
        <v>83</v>
      </c>
      <c r="AT233" s="97" t="s">
        <v>78</v>
      </c>
      <c r="AU233" s="97" t="s">
        <v>47</v>
      </c>
      <c r="AY233" s="10" t="s">
        <v>75</v>
      </c>
      <c r="BE233" s="98">
        <f>IF(N233="základní",J233,0)</f>
        <v>530.78</v>
      </c>
      <c r="BF233" s="98">
        <f>IF(N233="snížená",J233,0)</f>
        <v>0</v>
      </c>
      <c r="BG233" s="98">
        <f>IF(N233="zákl. přenesená",J233,0)</f>
        <v>0</v>
      </c>
      <c r="BH233" s="98">
        <f>IF(N233="sníž. přenesená",J233,0)</f>
        <v>0</v>
      </c>
      <c r="BI233" s="98">
        <f>IF(N233="nulová",J233,0)</f>
        <v>0</v>
      </c>
      <c r="BJ233" s="10" t="s">
        <v>46</v>
      </c>
      <c r="BK233" s="98">
        <f>ROUND(I233*H233,2)</f>
        <v>530.78</v>
      </c>
      <c r="BL233" s="10" t="s">
        <v>83</v>
      </c>
      <c r="BM233" s="97" t="s">
        <v>271</v>
      </c>
    </row>
    <row r="234" spans="1:65" s="5" customFormat="1" ht="22.9" customHeight="1" x14ac:dyDescent="0.2">
      <c r="B234" s="72"/>
      <c r="D234" s="73" t="s">
        <v>44</v>
      </c>
      <c r="E234" s="83" t="s">
        <v>83</v>
      </c>
      <c r="F234" s="83" t="s">
        <v>274</v>
      </c>
      <c r="I234" s="75"/>
      <c r="J234" s="84">
        <f>BK234</f>
        <v>861.56999999999994</v>
      </c>
      <c r="L234" s="72"/>
      <c r="M234" s="77"/>
      <c r="N234" s="78"/>
      <c r="O234" s="78"/>
      <c r="P234" s="79">
        <f>SUM(P235:P250)</f>
        <v>0</v>
      </c>
      <c r="Q234" s="78"/>
      <c r="R234" s="79">
        <f>SUM(R235:R250)</f>
        <v>0</v>
      </c>
      <c r="S234" s="78"/>
      <c r="T234" s="80">
        <f>SUM(T235:T250)</f>
        <v>0</v>
      </c>
      <c r="AR234" s="73" t="s">
        <v>46</v>
      </c>
      <c r="AT234" s="81" t="s">
        <v>44</v>
      </c>
      <c r="AU234" s="81" t="s">
        <v>46</v>
      </c>
      <c r="AY234" s="73" t="s">
        <v>75</v>
      </c>
      <c r="BK234" s="82">
        <f>SUM(BK235:BK250)</f>
        <v>861.56999999999994</v>
      </c>
    </row>
    <row r="235" spans="1:65" s="1" customFormat="1" ht="14.45" customHeight="1" x14ac:dyDescent="0.2">
      <c r="A235" s="156"/>
      <c r="B235" s="85"/>
      <c r="C235" s="86" t="s">
        <v>131</v>
      </c>
      <c r="D235" s="86" t="s">
        <v>78</v>
      </c>
      <c r="E235" s="87" t="s">
        <v>166</v>
      </c>
      <c r="F235" s="88" t="s">
        <v>167</v>
      </c>
      <c r="G235" s="89" t="s">
        <v>81</v>
      </c>
      <c r="H235" s="90">
        <v>0.20100000000000001</v>
      </c>
      <c r="I235" s="91">
        <v>1200.17173250368</v>
      </c>
      <c r="J235" s="92">
        <f>ROUND(I235*H235,2)</f>
        <v>241.23</v>
      </c>
      <c r="K235" s="88" t="s">
        <v>82</v>
      </c>
      <c r="L235" s="16"/>
      <c r="M235" s="93" t="s">
        <v>0</v>
      </c>
      <c r="N235" s="94" t="s">
        <v>27</v>
      </c>
      <c r="O235" s="27"/>
      <c r="P235" s="95">
        <f>O235*H235</f>
        <v>0</v>
      </c>
      <c r="Q235" s="95">
        <v>0</v>
      </c>
      <c r="R235" s="95">
        <f>Q235*H235</f>
        <v>0</v>
      </c>
      <c r="S235" s="95">
        <v>0</v>
      </c>
      <c r="T235" s="96">
        <f>S235*H235</f>
        <v>0</v>
      </c>
      <c r="U235" s="156"/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/>
      <c r="AR235" s="97" t="s">
        <v>83</v>
      </c>
      <c r="AT235" s="97" t="s">
        <v>78</v>
      </c>
      <c r="AU235" s="97" t="s">
        <v>47</v>
      </c>
      <c r="AY235" s="10" t="s">
        <v>75</v>
      </c>
      <c r="BE235" s="98">
        <f>IF(N235="základní",J235,0)</f>
        <v>241.23</v>
      </c>
      <c r="BF235" s="98">
        <f>IF(N235="snížená",J235,0)</f>
        <v>0</v>
      </c>
      <c r="BG235" s="98">
        <f>IF(N235="zákl. přenesená",J235,0)</f>
        <v>0</v>
      </c>
      <c r="BH235" s="98">
        <f>IF(N235="sníž. přenesená",J235,0)</f>
        <v>0</v>
      </c>
      <c r="BI235" s="98">
        <f>IF(N235="nulová",J235,0)</f>
        <v>0</v>
      </c>
      <c r="BJ235" s="10" t="s">
        <v>46</v>
      </c>
      <c r="BK235" s="98">
        <f>ROUND(I235*H235,2)</f>
        <v>241.23</v>
      </c>
      <c r="BL235" s="10" t="s">
        <v>83</v>
      </c>
      <c r="BM235" s="97" t="s">
        <v>275</v>
      </c>
    </row>
    <row r="236" spans="1:65" s="1" customFormat="1" ht="19.5" x14ac:dyDescent="0.2">
      <c r="A236" s="156"/>
      <c r="B236" s="16"/>
      <c r="C236" s="156"/>
      <c r="D236" s="99" t="s">
        <v>84</v>
      </c>
      <c r="E236" s="156"/>
      <c r="F236" s="100" t="s">
        <v>168</v>
      </c>
      <c r="G236" s="156"/>
      <c r="H236" s="156"/>
      <c r="I236" s="101"/>
      <c r="J236" s="156"/>
      <c r="K236" s="156"/>
      <c r="L236" s="16"/>
      <c r="M236" s="102"/>
      <c r="N236" s="103"/>
      <c r="O236" s="27"/>
      <c r="P236" s="27"/>
      <c r="Q236" s="27"/>
      <c r="R236" s="27"/>
      <c r="S236" s="27"/>
      <c r="T236" s="28"/>
      <c r="U236" s="156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T236" s="10" t="s">
        <v>84</v>
      </c>
      <c r="AU236" s="10" t="s">
        <v>47</v>
      </c>
    </row>
    <row r="237" spans="1:65" s="1" customFormat="1" ht="29.25" x14ac:dyDescent="0.2">
      <c r="A237" s="156"/>
      <c r="B237" s="16"/>
      <c r="C237" s="156"/>
      <c r="D237" s="99" t="s">
        <v>86</v>
      </c>
      <c r="E237" s="156"/>
      <c r="F237" s="104" t="s">
        <v>217</v>
      </c>
      <c r="G237" s="156"/>
      <c r="H237" s="156"/>
      <c r="I237" s="101"/>
      <c r="J237" s="156"/>
      <c r="K237" s="156"/>
      <c r="L237" s="16"/>
      <c r="M237" s="102"/>
      <c r="N237" s="103"/>
      <c r="O237" s="27"/>
      <c r="P237" s="27"/>
      <c r="Q237" s="27"/>
      <c r="R237" s="27"/>
      <c r="S237" s="27"/>
      <c r="T237" s="28"/>
      <c r="U237" s="156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T237" s="10" t="s">
        <v>86</v>
      </c>
      <c r="AU237" s="10" t="s">
        <v>47</v>
      </c>
    </row>
    <row r="238" spans="1:65" s="7" customFormat="1" x14ac:dyDescent="0.2">
      <c r="B238" s="112"/>
      <c r="D238" s="99" t="s">
        <v>87</v>
      </c>
      <c r="E238" s="113" t="s">
        <v>0</v>
      </c>
      <c r="F238" s="114" t="s">
        <v>482</v>
      </c>
      <c r="H238" s="115">
        <f>2.01*1*0.1</f>
        <v>0.20099999999999998</v>
      </c>
      <c r="I238" s="116"/>
      <c r="L238" s="112"/>
      <c r="M238" s="117"/>
      <c r="N238" s="118"/>
      <c r="O238" s="118"/>
      <c r="P238" s="118"/>
      <c r="Q238" s="118"/>
      <c r="R238" s="118"/>
      <c r="S238" s="118"/>
      <c r="T238" s="119"/>
      <c r="AT238" s="113" t="s">
        <v>87</v>
      </c>
      <c r="AU238" s="113" t="s">
        <v>47</v>
      </c>
      <c r="AV238" s="7" t="s">
        <v>47</v>
      </c>
      <c r="AW238" s="7" t="s">
        <v>19</v>
      </c>
      <c r="AX238" s="7" t="s">
        <v>46</v>
      </c>
      <c r="AY238" s="113" t="s">
        <v>75</v>
      </c>
    </row>
    <row r="239" spans="1:65" s="1" customFormat="1" ht="14.45" customHeight="1" x14ac:dyDescent="0.2">
      <c r="A239" s="156"/>
      <c r="B239" s="85"/>
      <c r="C239" s="86" t="s">
        <v>143</v>
      </c>
      <c r="D239" s="86" t="s">
        <v>78</v>
      </c>
      <c r="E239" s="87" t="s">
        <v>276</v>
      </c>
      <c r="F239" s="88" t="s">
        <v>277</v>
      </c>
      <c r="G239" s="89" t="s">
        <v>81</v>
      </c>
      <c r="H239" s="90">
        <v>0.22500000000000001</v>
      </c>
      <c r="I239" s="91">
        <v>1200.17173250368</v>
      </c>
      <c r="J239" s="92">
        <f>ROUND(I239*H239,2)</f>
        <v>270.04000000000002</v>
      </c>
      <c r="K239" s="88" t="s">
        <v>0</v>
      </c>
      <c r="L239" s="16"/>
      <c r="M239" s="93" t="s">
        <v>0</v>
      </c>
      <c r="N239" s="94" t="s">
        <v>27</v>
      </c>
      <c r="O239" s="27"/>
      <c r="P239" s="95">
        <f>O239*H239</f>
        <v>0</v>
      </c>
      <c r="Q239" s="95">
        <v>0</v>
      </c>
      <c r="R239" s="95">
        <f>Q239*H239</f>
        <v>0</v>
      </c>
      <c r="S239" s="95">
        <v>0</v>
      </c>
      <c r="T239" s="96">
        <f>S239*H239</f>
        <v>0</v>
      </c>
      <c r="U239" s="156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R239" s="97" t="s">
        <v>83</v>
      </c>
      <c r="AT239" s="97" t="s">
        <v>78</v>
      </c>
      <c r="AU239" s="97" t="s">
        <v>47</v>
      </c>
      <c r="AY239" s="10" t="s">
        <v>75</v>
      </c>
      <c r="BE239" s="98">
        <f>IF(N239="základní",J239,0)</f>
        <v>270.04000000000002</v>
      </c>
      <c r="BF239" s="98">
        <f>IF(N239="snížená",J239,0)</f>
        <v>0</v>
      </c>
      <c r="BG239" s="98">
        <f>IF(N239="zákl. přenesená",J239,0)</f>
        <v>0</v>
      </c>
      <c r="BH239" s="98">
        <f>IF(N239="sníž. přenesená",J239,0)</f>
        <v>0</v>
      </c>
      <c r="BI239" s="98">
        <f>IF(N239="nulová",J239,0)</f>
        <v>0</v>
      </c>
      <c r="BJ239" s="10" t="s">
        <v>46</v>
      </c>
      <c r="BK239" s="98">
        <f>ROUND(I239*H239,2)</f>
        <v>270.04000000000002</v>
      </c>
      <c r="BL239" s="10" t="s">
        <v>83</v>
      </c>
      <c r="BM239" s="97" t="s">
        <v>278</v>
      </c>
    </row>
    <row r="240" spans="1:65" s="1" customFormat="1" ht="19.5" x14ac:dyDescent="0.2">
      <c r="A240" s="156"/>
      <c r="B240" s="16"/>
      <c r="C240" s="156"/>
      <c r="D240" s="99" t="s">
        <v>84</v>
      </c>
      <c r="E240" s="156"/>
      <c r="F240" s="100" t="s">
        <v>168</v>
      </c>
      <c r="G240" s="156"/>
      <c r="H240" s="156"/>
      <c r="I240" s="101"/>
      <c r="J240" s="156"/>
      <c r="K240" s="156"/>
      <c r="L240" s="16"/>
      <c r="M240" s="102"/>
      <c r="N240" s="103"/>
      <c r="O240" s="27"/>
      <c r="P240" s="27"/>
      <c r="Q240" s="27"/>
      <c r="R240" s="27"/>
      <c r="S240" s="27"/>
      <c r="T240" s="28"/>
      <c r="U240" s="156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T240" s="10" t="s">
        <v>84</v>
      </c>
      <c r="AU240" s="10" t="s">
        <v>47</v>
      </c>
    </row>
    <row r="241" spans="1:65" s="1" customFormat="1" ht="29.25" x14ac:dyDescent="0.2">
      <c r="A241" s="156"/>
      <c r="B241" s="16"/>
      <c r="C241" s="156"/>
      <c r="D241" s="99" t="s">
        <v>86</v>
      </c>
      <c r="E241" s="156"/>
      <c r="F241" s="104" t="s">
        <v>217</v>
      </c>
      <c r="G241" s="156"/>
      <c r="H241" s="156"/>
      <c r="I241" s="101"/>
      <c r="J241" s="156"/>
      <c r="K241" s="156"/>
      <c r="L241" s="16"/>
      <c r="M241" s="102"/>
      <c r="N241" s="103"/>
      <c r="O241" s="27"/>
      <c r="P241" s="27"/>
      <c r="Q241" s="27"/>
      <c r="R241" s="27"/>
      <c r="S241" s="27"/>
      <c r="T241" s="28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T241" s="10" t="s">
        <v>86</v>
      </c>
      <c r="AU241" s="10" t="s">
        <v>47</v>
      </c>
    </row>
    <row r="242" spans="1:65" s="6" customFormat="1" x14ac:dyDescent="0.2">
      <c r="B242" s="105"/>
      <c r="D242" s="99" t="s">
        <v>87</v>
      </c>
      <c r="E242" s="106" t="s">
        <v>0</v>
      </c>
      <c r="F242" s="107" t="s">
        <v>483</v>
      </c>
      <c r="H242" s="106" t="s">
        <v>0</v>
      </c>
      <c r="I242" s="108"/>
      <c r="L242" s="105"/>
      <c r="M242" s="109"/>
      <c r="N242" s="110"/>
      <c r="O242" s="110"/>
      <c r="P242" s="110"/>
      <c r="Q242" s="110"/>
      <c r="R242" s="110"/>
      <c r="S242" s="110"/>
      <c r="T242" s="111"/>
      <c r="AT242" s="106" t="s">
        <v>87</v>
      </c>
      <c r="AU242" s="106" t="s">
        <v>47</v>
      </c>
      <c r="AV242" s="6" t="s">
        <v>46</v>
      </c>
      <c r="AW242" s="6" t="s">
        <v>19</v>
      </c>
      <c r="AX242" s="6" t="s">
        <v>45</v>
      </c>
      <c r="AY242" s="106" t="s">
        <v>75</v>
      </c>
    </row>
    <row r="243" spans="1:65" s="7" customFormat="1" x14ac:dyDescent="0.2">
      <c r="B243" s="112"/>
      <c r="D243" s="99" t="s">
        <v>87</v>
      </c>
      <c r="E243" s="113" t="s">
        <v>0</v>
      </c>
      <c r="F243" s="114" t="s">
        <v>282</v>
      </c>
      <c r="H243" s="115">
        <f>1.5*1.5*0.1</f>
        <v>0.22500000000000001</v>
      </c>
      <c r="I243" s="116"/>
      <c r="L243" s="112"/>
      <c r="M243" s="117"/>
      <c r="N243" s="118"/>
      <c r="O243" s="118"/>
      <c r="P243" s="118"/>
      <c r="Q243" s="118"/>
      <c r="R243" s="118"/>
      <c r="S243" s="118"/>
      <c r="T243" s="119"/>
      <c r="AT243" s="113" t="s">
        <v>87</v>
      </c>
      <c r="AU243" s="113" t="s">
        <v>47</v>
      </c>
      <c r="AV243" s="7" t="s">
        <v>47</v>
      </c>
      <c r="AW243" s="7" t="s">
        <v>19</v>
      </c>
      <c r="AX243" s="7" t="s">
        <v>45</v>
      </c>
      <c r="AY243" s="113" t="s">
        <v>75</v>
      </c>
    </row>
    <row r="244" spans="1:65" s="9" customFormat="1" x14ac:dyDescent="0.2">
      <c r="B244" s="128"/>
      <c r="D244" s="99" t="s">
        <v>87</v>
      </c>
      <c r="E244" s="129" t="s">
        <v>0</v>
      </c>
      <c r="F244" s="130" t="s">
        <v>103</v>
      </c>
      <c r="H244" s="131">
        <v>0.22500000000000001</v>
      </c>
      <c r="I244" s="132"/>
      <c r="L244" s="128"/>
      <c r="M244" s="133"/>
      <c r="N244" s="134"/>
      <c r="O244" s="134"/>
      <c r="P244" s="134"/>
      <c r="Q244" s="134"/>
      <c r="R244" s="134"/>
      <c r="S244" s="134"/>
      <c r="T244" s="135"/>
      <c r="AT244" s="129" t="s">
        <v>87</v>
      </c>
      <c r="AU244" s="129" t="s">
        <v>47</v>
      </c>
      <c r="AV244" s="9" t="s">
        <v>83</v>
      </c>
      <c r="AW244" s="9" t="s">
        <v>19</v>
      </c>
      <c r="AX244" s="9" t="s">
        <v>46</v>
      </c>
      <c r="AY244" s="129" t="s">
        <v>75</v>
      </c>
    </row>
    <row r="245" spans="1:65" s="1" customFormat="1" ht="24.2" customHeight="1" x14ac:dyDescent="0.2">
      <c r="A245" s="156"/>
      <c r="B245" s="85"/>
      <c r="C245" s="86" t="s">
        <v>138</v>
      </c>
      <c r="D245" s="86" t="s">
        <v>78</v>
      </c>
      <c r="E245" s="87" t="s">
        <v>283</v>
      </c>
      <c r="F245" s="88" t="s">
        <v>284</v>
      </c>
      <c r="G245" s="89" t="s">
        <v>81</v>
      </c>
      <c r="H245" s="90">
        <v>0.121</v>
      </c>
      <c r="I245" s="91">
        <v>2895.0660868876225</v>
      </c>
      <c r="J245" s="92">
        <f>ROUND(I245*H245,2)</f>
        <v>350.3</v>
      </c>
      <c r="K245" s="88" t="s">
        <v>82</v>
      </c>
      <c r="L245" s="16"/>
      <c r="M245" s="93" t="s">
        <v>0</v>
      </c>
      <c r="N245" s="94" t="s">
        <v>27</v>
      </c>
      <c r="O245" s="27"/>
      <c r="P245" s="95">
        <f>O245*H245</f>
        <v>0</v>
      </c>
      <c r="Q245" s="95">
        <v>0</v>
      </c>
      <c r="R245" s="95">
        <f>Q245*H245</f>
        <v>0</v>
      </c>
      <c r="S245" s="95">
        <v>0</v>
      </c>
      <c r="T245" s="96">
        <f>S245*H245</f>
        <v>0</v>
      </c>
      <c r="U245" s="156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R245" s="97" t="s">
        <v>83</v>
      </c>
      <c r="AT245" s="97" t="s">
        <v>78</v>
      </c>
      <c r="AU245" s="97" t="s">
        <v>47</v>
      </c>
      <c r="AY245" s="10" t="s">
        <v>75</v>
      </c>
      <c r="BE245" s="98">
        <f>IF(N245="základní",J245,0)</f>
        <v>350.3</v>
      </c>
      <c r="BF245" s="98">
        <f>IF(N245="snížená",J245,0)</f>
        <v>0</v>
      </c>
      <c r="BG245" s="98">
        <f>IF(N245="zákl. přenesená",J245,0)</f>
        <v>0</v>
      </c>
      <c r="BH245" s="98">
        <f>IF(N245="sníž. přenesená",J245,0)</f>
        <v>0</v>
      </c>
      <c r="BI245" s="98">
        <f>IF(N245="nulová",J245,0)</f>
        <v>0</v>
      </c>
      <c r="BJ245" s="10" t="s">
        <v>46</v>
      </c>
      <c r="BK245" s="98">
        <f>ROUND(I245*H245,2)</f>
        <v>350.3</v>
      </c>
      <c r="BL245" s="10" t="s">
        <v>83</v>
      </c>
      <c r="BM245" s="97" t="s">
        <v>285</v>
      </c>
    </row>
    <row r="246" spans="1:65" s="1" customFormat="1" ht="29.25" x14ac:dyDescent="0.2">
      <c r="A246" s="156"/>
      <c r="B246" s="16"/>
      <c r="C246" s="156"/>
      <c r="D246" s="99" t="s">
        <v>84</v>
      </c>
      <c r="E246" s="156"/>
      <c r="F246" s="100" t="s">
        <v>286</v>
      </c>
      <c r="G246" s="156"/>
      <c r="H246" s="156"/>
      <c r="I246" s="101"/>
      <c r="J246" s="156"/>
      <c r="K246" s="156"/>
      <c r="L246" s="16"/>
      <c r="M246" s="102"/>
      <c r="N246" s="103"/>
      <c r="O246" s="27"/>
      <c r="P246" s="27"/>
      <c r="Q246" s="27"/>
      <c r="R246" s="27"/>
      <c r="S246" s="27"/>
      <c r="T246" s="28"/>
      <c r="U246" s="156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T246" s="10" t="s">
        <v>84</v>
      </c>
      <c r="AU246" s="10" t="s">
        <v>47</v>
      </c>
    </row>
    <row r="247" spans="1:65" s="1" customFormat="1" ht="29.25" x14ac:dyDescent="0.2">
      <c r="A247" s="156"/>
      <c r="B247" s="16"/>
      <c r="C247" s="156"/>
      <c r="D247" s="99" t="s">
        <v>86</v>
      </c>
      <c r="E247" s="156"/>
      <c r="F247" s="104" t="s">
        <v>217</v>
      </c>
      <c r="G247" s="156"/>
      <c r="H247" s="156"/>
      <c r="I247" s="101"/>
      <c r="J247" s="156"/>
      <c r="K247" s="156"/>
      <c r="L247" s="16"/>
      <c r="M247" s="102"/>
      <c r="N247" s="103"/>
      <c r="O247" s="27"/>
      <c r="P247" s="27"/>
      <c r="Q247" s="27"/>
      <c r="R247" s="27"/>
      <c r="S247" s="27"/>
      <c r="T247" s="28"/>
      <c r="U247" s="156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T247" s="10" t="s">
        <v>86</v>
      </c>
      <c r="AU247" s="10" t="s">
        <v>47</v>
      </c>
    </row>
    <row r="248" spans="1:65" s="6" customFormat="1" x14ac:dyDescent="0.2">
      <c r="B248" s="105"/>
      <c r="D248" s="99" t="s">
        <v>87</v>
      </c>
      <c r="E248" s="106" t="s">
        <v>0</v>
      </c>
      <c r="F248" s="107" t="s">
        <v>483</v>
      </c>
      <c r="H248" s="106" t="s">
        <v>0</v>
      </c>
      <c r="I248" s="108"/>
      <c r="L248" s="105"/>
      <c r="M248" s="109"/>
      <c r="N248" s="110"/>
      <c r="O248" s="110"/>
      <c r="P248" s="110"/>
      <c r="Q248" s="110"/>
      <c r="R248" s="110"/>
      <c r="S248" s="110"/>
      <c r="T248" s="111"/>
      <c r="AT248" s="106" t="s">
        <v>87</v>
      </c>
      <c r="AU248" s="106" t="s">
        <v>47</v>
      </c>
      <c r="AV248" s="6" t="s">
        <v>46</v>
      </c>
      <c r="AW248" s="6" t="s">
        <v>19</v>
      </c>
      <c r="AX248" s="6" t="s">
        <v>45</v>
      </c>
      <c r="AY248" s="106" t="s">
        <v>75</v>
      </c>
    </row>
    <row r="249" spans="1:65" s="7" customFormat="1" x14ac:dyDescent="0.2">
      <c r="B249" s="112"/>
      <c r="D249" s="99" t="s">
        <v>87</v>
      </c>
      <c r="E249" s="113" t="s">
        <v>0</v>
      </c>
      <c r="F249" s="114" t="s">
        <v>287</v>
      </c>
      <c r="H249" s="115">
        <f>1.1*1.1*0.1</f>
        <v>0.12100000000000002</v>
      </c>
      <c r="I249" s="116"/>
      <c r="L249" s="112"/>
      <c r="M249" s="117"/>
      <c r="N249" s="118"/>
      <c r="O249" s="118"/>
      <c r="P249" s="118"/>
      <c r="Q249" s="118"/>
      <c r="R249" s="118"/>
      <c r="S249" s="118"/>
      <c r="T249" s="119"/>
      <c r="AT249" s="113" t="s">
        <v>87</v>
      </c>
      <c r="AU249" s="113" t="s">
        <v>47</v>
      </c>
      <c r="AV249" s="7" t="s">
        <v>47</v>
      </c>
      <c r="AW249" s="7" t="s">
        <v>19</v>
      </c>
      <c r="AX249" s="7" t="s">
        <v>45</v>
      </c>
      <c r="AY249" s="113" t="s">
        <v>75</v>
      </c>
    </row>
    <row r="250" spans="1:65" s="9" customFormat="1" x14ac:dyDescent="0.2">
      <c r="B250" s="128"/>
      <c r="D250" s="99" t="s">
        <v>87</v>
      </c>
      <c r="E250" s="129" t="s">
        <v>0</v>
      </c>
      <c r="F250" s="130" t="s">
        <v>103</v>
      </c>
      <c r="H250" s="131">
        <v>0.121</v>
      </c>
      <c r="I250" s="132"/>
      <c r="L250" s="128"/>
      <c r="M250" s="133"/>
      <c r="N250" s="134"/>
      <c r="O250" s="134"/>
      <c r="P250" s="134"/>
      <c r="Q250" s="134"/>
      <c r="R250" s="134"/>
      <c r="S250" s="134"/>
      <c r="T250" s="135"/>
      <c r="AT250" s="129" t="s">
        <v>87</v>
      </c>
      <c r="AU250" s="129" t="s">
        <v>47</v>
      </c>
      <c r="AV250" s="9" t="s">
        <v>83</v>
      </c>
      <c r="AW250" s="9" t="s">
        <v>19</v>
      </c>
      <c r="AX250" s="9" t="s">
        <v>46</v>
      </c>
      <c r="AY250" s="129" t="s">
        <v>75</v>
      </c>
    </row>
    <row r="251" spans="1:65" s="5" customFormat="1" ht="22.9" customHeight="1" x14ac:dyDescent="0.2">
      <c r="B251" s="72"/>
      <c r="D251" s="73" t="s">
        <v>44</v>
      </c>
      <c r="E251" s="83" t="s">
        <v>223</v>
      </c>
      <c r="F251" s="83" t="s">
        <v>288</v>
      </c>
      <c r="I251" s="75"/>
      <c r="J251" s="84">
        <f>BK251</f>
        <v>1329.1200000000001</v>
      </c>
      <c r="L251" s="72"/>
      <c r="M251" s="77"/>
      <c r="N251" s="78"/>
      <c r="O251" s="78"/>
      <c r="P251" s="79">
        <f>SUM(P252:P261)</f>
        <v>0</v>
      </c>
      <c r="Q251" s="78"/>
      <c r="R251" s="79">
        <f>SUM(R252:R261)</f>
        <v>0</v>
      </c>
      <c r="S251" s="78"/>
      <c r="T251" s="80">
        <f>SUM(T252:T261)</f>
        <v>0</v>
      </c>
      <c r="AR251" s="73" t="s">
        <v>46</v>
      </c>
      <c r="AT251" s="81" t="s">
        <v>44</v>
      </c>
      <c r="AU251" s="81" t="s">
        <v>46</v>
      </c>
      <c r="AY251" s="73" t="s">
        <v>75</v>
      </c>
      <c r="BK251" s="82">
        <f>SUM(BK252:BK261)</f>
        <v>1329.1200000000001</v>
      </c>
    </row>
    <row r="252" spans="1:65" s="1" customFormat="1" ht="24.2" customHeight="1" x14ac:dyDescent="0.2">
      <c r="A252" s="156"/>
      <c r="B252" s="85"/>
      <c r="C252" s="86" t="s">
        <v>289</v>
      </c>
      <c r="D252" s="86" t="s">
        <v>78</v>
      </c>
      <c r="E252" s="87" t="s">
        <v>170</v>
      </c>
      <c r="F252" s="88" t="s">
        <v>171</v>
      </c>
      <c r="G252" s="89" t="s">
        <v>100</v>
      </c>
      <c r="H252" s="90">
        <v>1.8089999999999999</v>
      </c>
      <c r="I252" s="91">
        <v>130.95617506780872</v>
      </c>
      <c r="J252" s="92">
        <f>ROUND(I252*H252,2)</f>
        <v>236.9</v>
      </c>
      <c r="K252" s="88" t="s">
        <v>82</v>
      </c>
      <c r="L252" s="16"/>
      <c r="M252" s="93" t="s">
        <v>0</v>
      </c>
      <c r="N252" s="94" t="s">
        <v>27</v>
      </c>
      <c r="O252" s="27"/>
      <c r="P252" s="95">
        <f>O252*H252</f>
        <v>0</v>
      </c>
      <c r="Q252" s="95">
        <v>0</v>
      </c>
      <c r="R252" s="95">
        <f>Q252*H252</f>
        <v>0</v>
      </c>
      <c r="S252" s="95">
        <v>0</v>
      </c>
      <c r="T252" s="96">
        <f>S252*H252</f>
        <v>0</v>
      </c>
      <c r="U252" s="156"/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/>
      <c r="AR252" s="97" t="s">
        <v>83</v>
      </c>
      <c r="AT252" s="97" t="s">
        <v>78</v>
      </c>
      <c r="AU252" s="97" t="s">
        <v>47</v>
      </c>
      <c r="AY252" s="10" t="s">
        <v>75</v>
      </c>
      <c r="BE252" s="98">
        <f>IF(N252="základní",J252,0)</f>
        <v>236.9</v>
      </c>
      <c r="BF252" s="98">
        <f>IF(N252="snížená",J252,0)</f>
        <v>0</v>
      </c>
      <c r="BG252" s="98">
        <f>IF(N252="zákl. přenesená",J252,0)</f>
        <v>0</v>
      </c>
      <c r="BH252" s="98">
        <f>IF(N252="sníž. přenesená",J252,0)</f>
        <v>0</v>
      </c>
      <c r="BI252" s="98">
        <f>IF(N252="nulová",J252,0)</f>
        <v>0</v>
      </c>
      <c r="BJ252" s="10" t="s">
        <v>46</v>
      </c>
      <c r="BK252" s="98">
        <f>ROUND(I252*H252,2)</f>
        <v>236.9</v>
      </c>
      <c r="BL252" s="10" t="s">
        <v>83</v>
      </c>
      <c r="BM252" s="97" t="s">
        <v>290</v>
      </c>
    </row>
    <row r="253" spans="1:65" s="1" customFormat="1" ht="19.5" x14ac:dyDescent="0.2">
      <c r="A253" s="156"/>
      <c r="B253" s="16"/>
      <c r="C253" s="156"/>
      <c r="D253" s="99" t="s">
        <v>84</v>
      </c>
      <c r="E253" s="156"/>
      <c r="F253" s="100" t="s">
        <v>172</v>
      </c>
      <c r="G253" s="156"/>
      <c r="H253" s="156"/>
      <c r="I253" s="101"/>
      <c r="J253" s="156"/>
      <c r="K253" s="156"/>
      <c r="L253" s="16"/>
      <c r="M253" s="102"/>
      <c r="N253" s="103"/>
      <c r="O253" s="27"/>
      <c r="P253" s="27"/>
      <c r="Q253" s="27"/>
      <c r="R253" s="27"/>
      <c r="S253" s="27"/>
      <c r="T253" s="28"/>
      <c r="U253" s="156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T253" s="10" t="s">
        <v>84</v>
      </c>
      <c r="AU253" s="10" t="s">
        <v>47</v>
      </c>
    </row>
    <row r="254" spans="1:65" s="1" customFormat="1" ht="14.45" customHeight="1" x14ac:dyDescent="0.2">
      <c r="A254" s="156"/>
      <c r="B254" s="85"/>
      <c r="C254" s="86" t="s">
        <v>165</v>
      </c>
      <c r="D254" s="86" t="s">
        <v>78</v>
      </c>
      <c r="E254" s="87" t="s">
        <v>174</v>
      </c>
      <c r="F254" s="88" t="s">
        <v>175</v>
      </c>
      <c r="G254" s="89" t="s">
        <v>100</v>
      </c>
      <c r="H254" s="90">
        <v>1.8089999999999999</v>
      </c>
      <c r="I254" s="91">
        <v>200.20823792465458</v>
      </c>
      <c r="J254" s="92">
        <f>ROUND(I254*H254,2)</f>
        <v>362.18</v>
      </c>
      <c r="K254" s="88" t="s">
        <v>82</v>
      </c>
      <c r="L254" s="16"/>
      <c r="M254" s="93" t="s">
        <v>0</v>
      </c>
      <c r="N254" s="94" t="s">
        <v>27</v>
      </c>
      <c r="O254" s="27"/>
      <c r="P254" s="95">
        <f>O254*H254</f>
        <v>0</v>
      </c>
      <c r="Q254" s="95">
        <v>0</v>
      </c>
      <c r="R254" s="95">
        <f>Q254*H254</f>
        <v>0</v>
      </c>
      <c r="S254" s="95">
        <v>0</v>
      </c>
      <c r="T254" s="96">
        <f>S254*H254</f>
        <v>0</v>
      </c>
      <c r="U254" s="156"/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/>
      <c r="AR254" s="97" t="s">
        <v>83</v>
      </c>
      <c r="AT254" s="97" t="s">
        <v>78</v>
      </c>
      <c r="AU254" s="97" t="s">
        <v>47</v>
      </c>
      <c r="AY254" s="10" t="s">
        <v>75</v>
      </c>
      <c r="BE254" s="98">
        <f>IF(N254="základní",J254,0)</f>
        <v>362.18</v>
      </c>
      <c r="BF254" s="98">
        <f>IF(N254="snížená",J254,0)</f>
        <v>0</v>
      </c>
      <c r="BG254" s="98">
        <f>IF(N254="zákl. přenesená",J254,0)</f>
        <v>0</v>
      </c>
      <c r="BH254" s="98">
        <f>IF(N254="sníž. přenesená",J254,0)</f>
        <v>0</v>
      </c>
      <c r="BI254" s="98">
        <f>IF(N254="nulová",J254,0)</f>
        <v>0</v>
      </c>
      <c r="BJ254" s="10" t="s">
        <v>46</v>
      </c>
      <c r="BK254" s="98">
        <f>ROUND(I254*H254,2)</f>
        <v>362.18</v>
      </c>
      <c r="BL254" s="10" t="s">
        <v>83</v>
      </c>
      <c r="BM254" s="97" t="s">
        <v>291</v>
      </c>
    </row>
    <row r="255" spans="1:65" s="1" customFormat="1" ht="19.5" x14ac:dyDescent="0.2">
      <c r="A255" s="156"/>
      <c r="B255" s="16"/>
      <c r="C255" s="156"/>
      <c r="D255" s="99" t="s">
        <v>84</v>
      </c>
      <c r="E255" s="156"/>
      <c r="F255" s="100" t="s">
        <v>176</v>
      </c>
      <c r="G255" s="156"/>
      <c r="H255" s="156"/>
      <c r="I255" s="101"/>
      <c r="J255" s="156"/>
      <c r="K255" s="156"/>
      <c r="L255" s="16"/>
      <c r="M255" s="102"/>
      <c r="N255" s="103"/>
      <c r="O255" s="27"/>
      <c r="P255" s="27"/>
      <c r="Q255" s="27"/>
      <c r="R255" s="27"/>
      <c r="S255" s="27"/>
      <c r="T255" s="28"/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T255" s="10" t="s">
        <v>84</v>
      </c>
      <c r="AU255" s="10" t="s">
        <v>47</v>
      </c>
    </row>
    <row r="256" spans="1:65" s="1" customFormat="1" ht="24.2" customHeight="1" x14ac:dyDescent="0.2">
      <c r="A256" s="156"/>
      <c r="B256" s="85"/>
      <c r="C256" s="86" t="s">
        <v>292</v>
      </c>
      <c r="D256" s="86" t="s">
        <v>78</v>
      </c>
      <c r="E256" s="87" t="s">
        <v>293</v>
      </c>
      <c r="F256" s="88" t="s">
        <v>294</v>
      </c>
      <c r="G256" s="89" t="s">
        <v>100</v>
      </c>
      <c r="H256" s="90">
        <v>1.8089999999999999</v>
      </c>
      <c r="I256" s="91">
        <v>40.878739778868102</v>
      </c>
      <c r="J256" s="92">
        <f>ROUND(I256*H256,2)</f>
        <v>73.95</v>
      </c>
      <c r="K256" s="88" t="s">
        <v>82</v>
      </c>
      <c r="L256" s="16"/>
      <c r="M256" s="93" t="s">
        <v>0</v>
      </c>
      <c r="N256" s="94" t="s">
        <v>27</v>
      </c>
      <c r="O256" s="27"/>
      <c r="P256" s="95">
        <f>O256*H256</f>
        <v>0</v>
      </c>
      <c r="Q256" s="95">
        <v>0</v>
      </c>
      <c r="R256" s="95">
        <f>Q256*H256</f>
        <v>0</v>
      </c>
      <c r="S256" s="95">
        <v>0</v>
      </c>
      <c r="T256" s="96">
        <f>S256*H256</f>
        <v>0</v>
      </c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R256" s="97" t="s">
        <v>83</v>
      </c>
      <c r="AT256" s="97" t="s">
        <v>78</v>
      </c>
      <c r="AU256" s="97" t="s">
        <v>47</v>
      </c>
      <c r="AY256" s="10" t="s">
        <v>75</v>
      </c>
      <c r="BE256" s="98">
        <f>IF(N256="základní",J256,0)</f>
        <v>73.95</v>
      </c>
      <c r="BF256" s="98">
        <f>IF(N256="snížená",J256,0)</f>
        <v>0</v>
      </c>
      <c r="BG256" s="98">
        <f>IF(N256="zákl. přenesená",J256,0)</f>
        <v>0</v>
      </c>
      <c r="BH256" s="98">
        <f>IF(N256="sníž. přenesená",J256,0)</f>
        <v>0</v>
      </c>
      <c r="BI256" s="98">
        <f>IF(N256="nulová",J256,0)</f>
        <v>0</v>
      </c>
      <c r="BJ256" s="10" t="s">
        <v>46</v>
      </c>
      <c r="BK256" s="98">
        <f>ROUND(I256*H256,2)</f>
        <v>73.95</v>
      </c>
      <c r="BL256" s="10" t="s">
        <v>83</v>
      </c>
      <c r="BM256" s="97" t="s">
        <v>295</v>
      </c>
    </row>
    <row r="257" spans="1:65" s="1" customFormat="1" ht="19.5" x14ac:dyDescent="0.2">
      <c r="A257" s="156"/>
      <c r="B257" s="16"/>
      <c r="C257" s="156"/>
      <c r="D257" s="99" t="s">
        <v>84</v>
      </c>
      <c r="E257" s="156"/>
      <c r="F257" s="100" t="s">
        <v>296</v>
      </c>
      <c r="G257" s="156"/>
      <c r="H257" s="156"/>
      <c r="I257" s="101"/>
      <c r="J257" s="156"/>
      <c r="K257" s="156"/>
      <c r="L257" s="16"/>
      <c r="M257" s="102"/>
      <c r="N257" s="103"/>
      <c r="O257" s="27"/>
      <c r="P257" s="27"/>
      <c r="Q257" s="27"/>
      <c r="R257" s="27"/>
      <c r="S257" s="27"/>
      <c r="T257" s="28"/>
      <c r="U257" s="156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T257" s="10" t="s">
        <v>84</v>
      </c>
      <c r="AU257" s="10" t="s">
        <v>47</v>
      </c>
    </row>
    <row r="258" spans="1:65" s="1" customFormat="1" ht="24.2" customHeight="1" x14ac:dyDescent="0.2">
      <c r="A258" s="156"/>
      <c r="B258" s="85"/>
      <c r="C258" s="86" t="s">
        <v>297</v>
      </c>
      <c r="D258" s="86" t="s">
        <v>78</v>
      </c>
      <c r="E258" s="87" t="s">
        <v>178</v>
      </c>
      <c r="F258" s="88" t="s">
        <v>179</v>
      </c>
      <c r="G258" s="89" t="s">
        <v>100</v>
      </c>
      <c r="H258" s="90">
        <v>1.8089999999999999</v>
      </c>
      <c r="I258" s="91">
        <v>362.67856108310502</v>
      </c>
      <c r="J258" s="92">
        <f>ROUND(I258*H258,2)</f>
        <v>656.09</v>
      </c>
      <c r="K258" s="88" t="s">
        <v>82</v>
      </c>
      <c r="L258" s="16"/>
      <c r="M258" s="93" t="s">
        <v>0</v>
      </c>
      <c r="N258" s="94" t="s">
        <v>27</v>
      </c>
      <c r="O258" s="27"/>
      <c r="P258" s="95">
        <f>O258*H258</f>
        <v>0</v>
      </c>
      <c r="Q258" s="95">
        <v>0</v>
      </c>
      <c r="R258" s="95">
        <f>Q258*H258</f>
        <v>0</v>
      </c>
      <c r="S258" s="95">
        <v>0</v>
      </c>
      <c r="T258" s="96">
        <f>S258*H258</f>
        <v>0</v>
      </c>
      <c r="U258" s="156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R258" s="97" t="s">
        <v>83</v>
      </c>
      <c r="AT258" s="97" t="s">
        <v>78</v>
      </c>
      <c r="AU258" s="97" t="s">
        <v>47</v>
      </c>
      <c r="AY258" s="10" t="s">
        <v>75</v>
      </c>
      <c r="BE258" s="98">
        <f>IF(N258="základní",J258,0)</f>
        <v>656.09</v>
      </c>
      <c r="BF258" s="98">
        <f>IF(N258="snížená",J258,0)</f>
        <v>0</v>
      </c>
      <c r="BG258" s="98">
        <f>IF(N258="zákl. přenesená",J258,0)</f>
        <v>0</v>
      </c>
      <c r="BH258" s="98">
        <f>IF(N258="sníž. přenesená",J258,0)</f>
        <v>0</v>
      </c>
      <c r="BI258" s="98">
        <f>IF(N258="nulová",J258,0)</f>
        <v>0</v>
      </c>
      <c r="BJ258" s="10" t="s">
        <v>46</v>
      </c>
      <c r="BK258" s="98">
        <f>ROUND(I258*H258,2)</f>
        <v>656.09</v>
      </c>
      <c r="BL258" s="10" t="s">
        <v>83</v>
      </c>
      <c r="BM258" s="97" t="s">
        <v>298</v>
      </c>
    </row>
    <row r="259" spans="1:65" s="1" customFormat="1" ht="29.25" x14ac:dyDescent="0.2">
      <c r="A259" s="156"/>
      <c r="B259" s="16"/>
      <c r="C259" s="156"/>
      <c r="D259" s="99" t="s">
        <v>84</v>
      </c>
      <c r="E259" s="156"/>
      <c r="F259" s="100" t="s">
        <v>180</v>
      </c>
      <c r="G259" s="156"/>
      <c r="H259" s="156"/>
      <c r="I259" s="101"/>
      <c r="J259" s="156"/>
      <c r="K259" s="156"/>
      <c r="L259" s="16"/>
      <c r="M259" s="102"/>
      <c r="N259" s="103"/>
      <c r="O259" s="27"/>
      <c r="P259" s="27"/>
      <c r="Q259" s="27"/>
      <c r="R259" s="27"/>
      <c r="S259" s="27"/>
      <c r="T259" s="28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T259" s="10" t="s">
        <v>84</v>
      </c>
      <c r="AU259" s="10" t="s">
        <v>47</v>
      </c>
    </row>
    <row r="260" spans="1:65" s="1" customFormat="1" ht="29.25" x14ac:dyDescent="0.2">
      <c r="A260" s="156"/>
      <c r="B260" s="16"/>
      <c r="C260" s="156"/>
      <c r="D260" s="99" t="s">
        <v>86</v>
      </c>
      <c r="E260" s="156"/>
      <c r="F260" s="104" t="s">
        <v>217</v>
      </c>
      <c r="G260" s="156"/>
      <c r="H260" s="156"/>
      <c r="I260" s="101"/>
      <c r="J260" s="156"/>
      <c r="K260" s="156"/>
      <c r="L260" s="16"/>
      <c r="M260" s="102"/>
      <c r="N260" s="103"/>
      <c r="O260" s="27"/>
      <c r="P260" s="27"/>
      <c r="Q260" s="27"/>
      <c r="R260" s="27"/>
      <c r="S260" s="27"/>
      <c r="T260" s="28"/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T260" s="10" t="s">
        <v>86</v>
      </c>
      <c r="AU260" s="10" t="s">
        <v>47</v>
      </c>
    </row>
    <row r="261" spans="1:65" s="6" customFormat="1" ht="22.5" x14ac:dyDescent="0.2">
      <c r="B261" s="105"/>
      <c r="D261" s="99" t="s">
        <v>87</v>
      </c>
      <c r="E261" s="106" t="s">
        <v>0</v>
      </c>
      <c r="F261" s="107" t="s">
        <v>299</v>
      </c>
      <c r="H261" s="106" t="s">
        <v>0</v>
      </c>
      <c r="I261" s="108"/>
      <c r="L261" s="105"/>
      <c r="M261" s="109"/>
      <c r="N261" s="110"/>
      <c r="O261" s="110"/>
      <c r="P261" s="110"/>
      <c r="Q261" s="110"/>
      <c r="R261" s="110"/>
      <c r="S261" s="110"/>
      <c r="T261" s="111"/>
      <c r="AT261" s="106" t="s">
        <v>87</v>
      </c>
      <c r="AU261" s="106" t="s">
        <v>47</v>
      </c>
      <c r="AV261" s="6" t="s">
        <v>46</v>
      </c>
      <c r="AW261" s="6" t="s">
        <v>19</v>
      </c>
      <c r="AX261" s="6" t="s">
        <v>45</v>
      </c>
      <c r="AY261" s="106" t="s">
        <v>75</v>
      </c>
    </row>
    <row r="262" spans="1:65" s="5" customFormat="1" ht="22.9" customHeight="1" x14ac:dyDescent="0.2">
      <c r="B262" s="72"/>
      <c r="D262" s="73" t="s">
        <v>44</v>
      </c>
      <c r="E262" s="83" t="s">
        <v>129</v>
      </c>
      <c r="F262" s="83" t="s">
        <v>300</v>
      </c>
      <c r="I262" s="75"/>
      <c r="J262" s="84">
        <f>BK262</f>
        <v>12111.44</v>
      </c>
      <c r="L262" s="72"/>
      <c r="M262" s="77"/>
      <c r="N262" s="78"/>
      <c r="O262" s="78"/>
      <c r="P262" s="79">
        <f>SUM(P263:P295)</f>
        <v>0</v>
      </c>
      <c r="Q262" s="78"/>
      <c r="R262" s="79">
        <f>SUM(R263:R295)</f>
        <v>0.14022219999999999</v>
      </c>
      <c r="S262" s="78"/>
      <c r="T262" s="80">
        <f>SUM(T263:T295)</f>
        <v>0</v>
      </c>
      <c r="AR262" s="73" t="s">
        <v>46</v>
      </c>
      <c r="AT262" s="81" t="s">
        <v>44</v>
      </c>
      <c r="AU262" s="81" t="s">
        <v>46</v>
      </c>
      <c r="AY262" s="73" t="s">
        <v>75</v>
      </c>
      <c r="BK262" s="82">
        <f>SUM(BK263:BK295)</f>
        <v>12111.44</v>
      </c>
    </row>
    <row r="263" spans="1:65" s="1" customFormat="1" ht="24.2" customHeight="1" x14ac:dyDescent="0.2">
      <c r="A263" s="156"/>
      <c r="B263" s="85"/>
      <c r="C263" s="86" t="s">
        <v>301</v>
      </c>
      <c r="D263" s="86" t="s">
        <v>78</v>
      </c>
      <c r="E263" s="87" t="s">
        <v>302</v>
      </c>
      <c r="F263" s="88" t="s">
        <v>303</v>
      </c>
      <c r="G263" s="89" t="s">
        <v>270</v>
      </c>
      <c r="H263" s="90">
        <v>2.0099999999999998</v>
      </c>
      <c r="I263" s="91">
        <v>617.16852473597498</v>
      </c>
      <c r="J263" s="92">
        <f>ROUND(I263*H263,2)</f>
        <v>1240.51</v>
      </c>
      <c r="K263" s="88" t="s">
        <v>82</v>
      </c>
      <c r="L263" s="16"/>
      <c r="M263" s="93" t="s">
        <v>0</v>
      </c>
      <c r="N263" s="94" t="s">
        <v>27</v>
      </c>
      <c r="O263" s="27"/>
      <c r="P263" s="95">
        <f>O263*H263</f>
        <v>0</v>
      </c>
      <c r="Q263" s="95">
        <v>4.2199999999999998E-3</v>
      </c>
      <c r="R263" s="95">
        <f>Q263*H263</f>
        <v>8.4821999999999988E-3</v>
      </c>
      <c r="S263" s="95">
        <v>0</v>
      </c>
      <c r="T263" s="96">
        <f>S263*H263</f>
        <v>0</v>
      </c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R263" s="97" t="s">
        <v>83</v>
      </c>
      <c r="AT263" s="97" t="s">
        <v>78</v>
      </c>
      <c r="AU263" s="97" t="s">
        <v>47</v>
      </c>
      <c r="AY263" s="10" t="s">
        <v>75</v>
      </c>
      <c r="BE263" s="98">
        <f>IF(N263="základní",J263,0)</f>
        <v>1240.51</v>
      </c>
      <c r="BF263" s="98">
        <f>IF(N263="snížená",J263,0)</f>
        <v>0</v>
      </c>
      <c r="BG263" s="98">
        <f>IF(N263="zákl. přenesená",J263,0)</f>
        <v>0</v>
      </c>
      <c r="BH263" s="98">
        <f>IF(N263="sníž. přenesená",J263,0)</f>
        <v>0</v>
      </c>
      <c r="BI263" s="98">
        <f>IF(N263="nulová",J263,0)</f>
        <v>0</v>
      </c>
      <c r="BJ263" s="10" t="s">
        <v>46</v>
      </c>
      <c r="BK263" s="98">
        <f>ROUND(I263*H263,2)</f>
        <v>1240.51</v>
      </c>
      <c r="BL263" s="10" t="s">
        <v>83</v>
      </c>
      <c r="BM263" s="97" t="s">
        <v>304</v>
      </c>
    </row>
    <row r="264" spans="1:65" s="1" customFormat="1" ht="29.25" x14ac:dyDescent="0.2">
      <c r="A264" s="156"/>
      <c r="B264" s="16"/>
      <c r="C264" s="156"/>
      <c r="D264" s="99" t="s">
        <v>84</v>
      </c>
      <c r="E264" s="156"/>
      <c r="F264" s="100" t="s">
        <v>305</v>
      </c>
      <c r="G264" s="156"/>
      <c r="H264" s="156"/>
      <c r="I264" s="101"/>
      <c r="J264" s="156"/>
      <c r="K264" s="156"/>
      <c r="L264" s="16"/>
      <c r="M264" s="102"/>
      <c r="N264" s="103"/>
      <c r="O264" s="27"/>
      <c r="P264" s="27"/>
      <c r="Q264" s="27"/>
      <c r="R264" s="27"/>
      <c r="S264" s="27"/>
      <c r="T264" s="28"/>
      <c r="U264" s="156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T264" s="10" t="s">
        <v>84</v>
      </c>
      <c r="AU264" s="10" t="s">
        <v>47</v>
      </c>
    </row>
    <row r="265" spans="1:65" s="1" customFormat="1" ht="29.25" x14ac:dyDescent="0.2">
      <c r="A265" s="156"/>
      <c r="B265" s="16"/>
      <c r="C265" s="156"/>
      <c r="D265" s="99" t="s">
        <v>86</v>
      </c>
      <c r="E265" s="156"/>
      <c r="F265" s="104" t="s">
        <v>217</v>
      </c>
      <c r="G265" s="156"/>
      <c r="H265" s="156"/>
      <c r="I265" s="101"/>
      <c r="J265" s="156"/>
      <c r="K265" s="156"/>
      <c r="L265" s="16"/>
      <c r="M265" s="102"/>
      <c r="N265" s="103"/>
      <c r="O265" s="27"/>
      <c r="P265" s="27"/>
      <c r="Q265" s="27"/>
      <c r="R265" s="27"/>
      <c r="S265" s="27"/>
      <c r="T265" s="28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T265" s="10" t="s">
        <v>86</v>
      </c>
      <c r="AU265" s="10" t="s">
        <v>47</v>
      </c>
    </row>
    <row r="266" spans="1:65" s="7" customFormat="1" x14ac:dyDescent="0.2">
      <c r="B266" s="112"/>
      <c r="D266" s="99" t="s">
        <v>87</v>
      </c>
      <c r="E266" s="113" t="s">
        <v>0</v>
      </c>
      <c r="F266" s="114"/>
      <c r="H266" s="115">
        <v>2.0099999999999998</v>
      </c>
      <c r="I266" s="116"/>
      <c r="L266" s="112"/>
      <c r="M266" s="117"/>
      <c r="N266" s="118"/>
      <c r="O266" s="118"/>
      <c r="P266" s="118"/>
      <c r="Q266" s="118"/>
      <c r="R266" s="118"/>
      <c r="S266" s="118"/>
      <c r="T266" s="119"/>
      <c r="AT266" s="113" t="s">
        <v>87</v>
      </c>
      <c r="AU266" s="113" t="s">
        <v>47</v>
      </c>
      <c r="AV266" s="7" t="s">
        <v>47</v>
      </c>
      <c r="AW266" s="7" t="s">
        <v>19</v>
      </c>
      <c r="AX266" s="7" t="s">
        <v>46</v>
      </c>
      <c r="AY266" s="113" t="s">
        <v>75</v>
      </c>
    </row>
    <row r="267" spans="1:65" s="1" customFormat="1" ht="24.2" customHeight="1" x14ac:dyDescent="0.2">
      <c r="A267" s="156"/>
      <c r="B267" s="85"/>
      <c r="C267" s="86" t="s">
        <v>306</v>
      </c>
      <c r="D267" s="86" t="s">
        <v>78</v>
      </c>
      <c r="E267" s="87" t="s">
        <v>307</v>
      </c>
      <c r="F267" s="88" t="s">
        <v>308</v>
      </c>
      <c r="G267" s="89" t="s">
        <v>309</v>
      </c>
      <c r="H267" s="90">
        <v>2</v>
      </c>
      <c r="I267" s="91">
        <v>214.24530512569368</v>
      </c>
      <c r="J267" s="92">
        <f>ROUND(I267*H267,2)</f>
        <v>428.49</v>
      </c>
      <c r="K267" s="88" t="s">
        <v>82</v>
      </c>
      <c r="L267" s="16"/>
      <c r="M267" s="93" t="s">
        <v>0</v>
      </c>
      <c r="N267" s="94" t="s">
        <v>27</v>
      </c>
      <c r="O267" s="27"/>
      <c r="P267" s="95">
        <f>O267*H267</f>
        <v>0</v>
      </c>
      <c r="Q267" s="95">
        <v>0</v>
      </c>
      <c r="R267" s="95">
        <f>Q267*H267</f>
        <v>0</v>
      </c>
      <c r="S267" s="95">
        <v>0</v>
      </c>
      <c r="T267" s="96">
        <f>S267*H267</f>
        <v>0</v>
      </c>
      <c r="U267" s="156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R267" s="97" t="s">
        <v>83</v>
      </c>
      <c r="AT267" s="97" t="s">
        <v>78</v>
      </c>
      <c r="AU267" s="97" t="s">
        <v>47</v>
      </c>
      <c r="AY267" s="10" t="s">
        <v>75</v>
      </c>
      <c r="BE267" s="98">
        <f>IF(N267="základní",J267,0)</f>
        <v>428.49</v>
      </c>
      <c r="BF267" s="98">
        <f>IF(N267="snížená",J267,0)</f>
        <v>0</v>
      </c>
      <c r="BG267" s="98">
        <f>IF(N267="zákl. přenesená",J267,0)</f>
        <v>0</v>
      </c>
      <c r="BH267" s="98">
        <f>IF(N267="sníž. přenesená",J267,0)</f>
        <v>0</v>
      </c>
      <c r="BI267" s="98">
        <f>IF(N267="nulová",J267,0)</f>
        <v>0</v>
      </c>
      <c r="BJ267" s="10" t="s">
        <v>46</v>
      </c>
      <c r="BK267" s="98">
        <f>ROUND(I267*H267,2)</f>
        <v>428.49</v>
      </c>
      <c r="BL267" s="10" t="s">
        <v>83</v>
      </c>
      <c r="BM267" s="97" t="s">
        <v>310</v>
      </c>
    </row>
    <row r="268" spans="1:65" s="1" customFormat="1" ht="19.5" x14ac:dyDescent="0.2">
      <c r="A268" s="156"/>
      <c r="B268" s="16"/>
      <c r="C268" s="156"/>
      <c r="D268" s="99" t="s">
        <v>84</v>
      </c>
      <c r="E268" s="156"/>
      <c r="F268" s="100" t="s">
        <v>311</v>
      </c>
      <c r="G268" s="156"/>
      <c r="H268" s="156"/>
      <c r="I268" s="101"/>
      <c r="J268" s="156"/>
      <c r="K268" s="156"/>
      <c r="L268" s="16"/>
      <c r="M268" s="102"/>
      <c r="N268" s="103"/>
      <c r="O268" s="27"/>
      <c r="P268" s="27"/>
      <c r="Q268" s="27"/>
      <c r="R268" s="27"/>
      <c r="S268" s="27"/>
      <c r="T268" s="28"/>
      <c r="U268" s="156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T268" s="10" t="s">
        <v>84</v>
      </c>
      <c r="AU268" s="10" t="s">
        <v>47</v>
      </c>
    </row>
    <row r="269" spans="1:65" s="1" customFormat="1" ht="29.25" x14ac:dyDescent="0.2">
      <c r="A269" s="156"/>
      <c r="B269" s="16"/>
      <c r="C269" s="156"/>
      <c r="D269" s="99" t="s">
        <v>86</v>
      </c>
      <c r="E269" s="156"/>
      <c r="F269" s="104" t="s">
        <v>217</v>
      </c>
      <c r="G269" s="156"/>
      <c r="H269" s="156"/>
      <c r="I269" s="101"/>
      <c r="J269" s="156"/>
      <c r="K269" s="156"/>
      <c r="L269" s="16"/>
      <c r="M269" s="102"/>
      <c r="N269" s="103"/>
      <c r="O269" s="27"/>
      <c r="P269" s="27"/>
      <c r="Q269" s="27"/>
      <c r="R269" s="27"/>
      <c r="S269" s="27"/>
      <c r="T269" s="28"/>
      <c r="U269" s="156"/>
      <c r="V269" s="156"/>
      <c r="W269" s="156"/>
      <c r="X269" s="156"/>
      <c r="Y269" s="156"/>
      <c r="Z269" s="156"/>
      <c r="AA269" s="156"/>
      <c r="AB269" s="156"/>
      <c r="AC269" s="156"/>
      <c r="AD269" s="156"/>
      <c r="AE269" s="156"/>
      <c r="AT269" s="10" t="s">
        <v>86</v>
      </c>
      <c r="AU269" s="10" t="s">
        <v>47</v>
      </c>
    </row>
    <row r="270" spans="1:65" s="1" customFormat="1" ht="14.45" customHeight="1" x14ac:dyDescent="0.2">
      <c r="A270" s="156"/>
      <c r="B270" s="85"/>
      <c r="C270" s="136" t="s">
        <v>312</v>
      </c>
      <c r="D270" s="136" t="s">
        <v>126</v>
      </c>
      <c r="E270" s="137" t="s">
        <v>313</v>
      </c>
      <c r="F270" s="138" t="s">
        <v>314</v>
      </c>
      <c r="G270" s="139" t="s">
        <v>309</v>
      </c>
      <c r="H270" s="140">
        <v>1</v>
      </c>
      <c r="I270" s="141">
        <v>100.40486420000001</v>
      </c>
      <c r="J270" s="142">
        <f>ROUND(I270*H270,2)</f>
        <v>100.4</v>
      </c>
      <c r="K270" s="138" t="s">
        <v>82</v>
      </c>
      <c r="L270" s="143"/>
      <c r="M270" s="144" t="s">
        <v>0</v>
      </c>
      <c r="N270" s="145" t="s">
        <v>27</v>
      </c>
      <c r="O270" s="27"/>
      <c r="P270" s="95">
        <f>O270*H270</f>
        <v>0</v>
      </c>
      <c r="Q270" s="95">
        <v>6.4999999999999997E-4</v>
      </c>
      <c r="R270" s="95">
        <f>Q270*H270</f>
        <v>6.4999999999999997E-4</v>
      </c>
      <c r="S270" s="95">
        <v>0</v>
      </c>
      <c r="T270" s="96">
        <f>S270*H270</f>
        <v>0</v>
      </c>
      <c r="U270" s="156"/>
      <c r="V270" s="156"/>
      <c r="W270" s="156"/>
      <c r="X270" s="156"/>
      <c r="Y270" s="156"/>
      <c r="Z270" s="156"/>
      <c r="AA270" s="156"/>
      <c r="AB270" s="156"/>
      <c r="AC270" s="156"/>
      <c r="AD270" s="156"/>
      <c r="AE270" s="156"/>
      <c r="AR270" s="97" t="s">
        <v>129</v>
      </c>
      <c r="AT270" s="97" t="s">
        <v>126</v>
      </c>
      <c r="AU270" s="97" t="s">
        <v>47</v>
      </c>
      <c r="AY270" s="10" t="s">
        <v>75</v>
      </c>
      <c r="BE270" s="98">
        <f>IF(N270="základní",J270,0)</f>
        <v>100.4</v>
      </c>
      <c r="BF270" s="98">
        <f>IF(N270="snížená",J270,0)</f>
        <v>0</v>
      </c>
      <c r="BG270" s="98">
        <f>IF(N270="zákl. přenesená",J270,0)</f>
        <v>0</v>
      </c>
      <c r="BH270" s="98">
        <f>IF(N270="sníž. přenesená",J270,0)</f>
        <v>0</v>
      </c>
      <c r="BI270" s="98">
        <f>IF(N270="nulová",J270,0)</f>
        <v>0</v>
      </c>
      <c r="BJ270" s="10" t="s">
        <v>46</v>
      </c>
      <c r="BK270" s="98">
        <f>ROUND(I270*H270,2)</f>
        <v>100.4</v>
      </c>
      <c r="BL270" s="10" t="s">
        <v>83</v>
      </c>
      <c r="BM270" s="97" t="s">
        <v>315</v>
      </c>
    </row>
    <row r="271" spans="1:65" s="1" customFormat="1" x14ac:dyDescent="0.2">
      <c r="A271" s="156"/>
      <c r="B271" s="16"/>
      <c r="C271" s="156"/>
      <c r="D271" s="99" t="s">
        <v>84</v>
      </c>
      <c r="E271" s="156"/>
      <c r="F271" s="100" t="s">
        <v>316</v>
      </c>
      <c r="G271" s="156"/>
      <c r="H271" s="156"/>
      <c r="I271" s="101"/>
      <c r="J271" s="156"/>
      <c r="K271" s="156"/>
      <c r="L271" s="16"/>
      <c r="M271" s="102"/>
      <c r="N271" s="103"/>
      <c r="O271" s="27"/>
      <c r="P271" s="27"/>
      <c r="Q271" s="27"/>
      <c r="R271" s="27"/>
      <c r="S271" s="27"/>
      <c r="T271" s="28"/>
      <c r="U271" s="156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T271" s="10" t="s">
        <v>84</v>
      </c>
      <c r="AU271" s="10" t="s">
        <v>47</v>
      </c>
    </row>
    <row r="272" spans="1:65" s="1" customFormat="1" ht="14.45" customHeight="1" x14ac:dyDescent="0.2">
      <c r="A272" s="156"/>
      <c r="B272" s="85"/>
      <c r="C272" s="136" t="s">
        <v>317</v>
      </c>
      <c r="D272" s="136" t="s">
        <v>126</v>
      </c>
      <c r="E272" s="137" t="s">
        <v>318</v>
      </c>
      <c r="F272" s="138" t="s">
        <v>319</v>
      </c>
      <c r="G272" s="139" t="s">
        <v>309</v>
      </c>
      <c r="H272" s="140">
        <v>1</v>
      </c>
      <c r="I272" s="141">
        <v>236.80392499999999</v>
      </c>
      <c r="J272" s="142">
        <f>ROUND(I272*H272,2)</f>
        <v>236.8</v>
      </c>
      <c r="K272" s="138" t="s">
        <v>0</v>
      </c>
      <c r="L272" s="143"/>
      <c r="M272" s="144" t="s">
        <v>0</v>
      </c>
      <c r="N272" s="145" t="s">
        <v>27</v>
      </c>
      <c r="O272" s="27"/>
      <c r="P272" s="95">
        <f>O272*H272</f>
        <v>0</v>
      </c>
      <c r="Q272" s="95">
        <v>6.4999999999999997E-4</v>
      </c>
      <c r="R272" s="95">
        <f>Q272*H272</f>
        <v>6.4999999999999997E-4</v>
      </c>
      <c r="S272" s="95">
        <v>0</v>
      </c>
      <c r="T272" s="96">
        <f>S272*H272</f>
        <v>0</v>
      </c>
      <c r="U272" s="156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R272" s="97" t="s">
        <v>129</v>
      </c>
      <c r="AT272" s="97" t="s">
        <v>126</v>
      </c>
      <c r="AU272" s="97" t="s">
        <v>47</v>
      </c>
      <c r="AY272" s="10" t="s">
        <v>75</v>
      </c>
      <c r="BE272" s="98">
        <f>IF(N272="základní",J272,0)</f>
        <v>236.8</v>
      </c>
      <c r="BF272" s="98">
        <f>IF(N272="snížená",J272,0)</f>
        <v>0</v>
      </c>
      <c r="BG272" s="98">
        <f>IF(N272="zákl. přenesená",J272,0)</f>
        <v>0</v>
      </c>
      <c r="BH272" s="98">
        <f>IF(N272="sníž. přenesená",J272,0)</f>
        <v>0</v>
      </c>
      <c r="BI272" s="98">
        <f>IF(N272="nulová",J272,0)</f>
        <v>0</v>
      </c>
      <c r="BJ272" s="10" t="s">
        <v>46</v>
      </c>
      <c r="BK272" s="98">
        <f>ROUND(I272*H272,2)</f>
        <v>236.8</v>
      </c>
      <c r="BL272" s="10" t="s">
        <v>83</v>
      </c>
      <c r="BM272" s="97" t="s">
        <v>320</v>
      </c>
    </row>
    <row r="273" spans="1:65" s="1" customFormat="1" x14ac:dyDescent="0.2">
      <c r="A273" s="156"/>
      <c r="B273" s="16"/>
      <c r="C273" s="156"/>
      <c r="D273" s="99" t="s">
        <v>84</v>
      </c>
      <c r="E273" s="156"/>
      <c r="F273" s="100" t="s">
        <v>319</v>
      </c>
      <c r="G273" s="156"/>
      <c r="H273" s="156"/>
      <c r="I273" s="101"/>
      <c r="J273" s="156"/>
      <c r="K273" s="156"/>
      <c r="L273" s="16"/>
      <c r="M273" s="102"/>
      <c r="N273" s="103"/>
      <c r="O273" s="27"/>
      <c r="P273" s="27"/>
      <c r="Q273" s="27"/>
      <c r="R273" s="27"/>
      <c r="S273" s="27"/>
      <c r="T273" s="28"/>
      <c r="U273" s="156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T273" s="10" t="s">
        <v>84</v>
      </c>
      <c r="AU273" s="10" t="s">
        <v>47</v>
      </c>
    </row>
    <row r="274" spans="1:65" s="1" customFormat="1" ht="14.45" customHeight="1" x14ac:dyDescent="0.2">
      <c r="A274" s="156"/>
      <c r="B274" s="85"/>
      <c r="C274" s="86" t="s">
        <v>321</v>
      </c>
      <c r="D274" s="86" t="s">
        <v>78</v>
      </c>
      <c r="E274" s="87" t="s">
        <v>322</v>
      </c>
      <c r="F274" s="88" t="s">
        <v>323</v>
      </c>
      <c r="G274" s="89" t="s">
        <v>309</v>
      </c>
      <c r="H274" s="90">
        <v>1</v>
      </c>
      <c r="I274" s="91">
        <v>214.24530512569368</v>
      </c>
      <c r="J274" s="92">
        <f>ROUND(I274*H274,2)</f>
        <v>214.25</v>
      </c>
      <c r="K274" s="88" t="s">
        <v>82</v>
      </c>
      <c r="L274" s="16"/>
      <c r="M274" s="93" t="s">
        <v>0</v>
      </c>
      <c r="N274" s="94" t="s">
        <v>27</v>
      </c>
      <c r="O274" s="27"/>
      <c r="P274" s="95">
        <f>O274*H274</f>
        <v>0</v>
      </c>
      <c r="Q274" s="95">
        <v>0</v>
      </c>
      <c r="R274" s="95">
        <f>Q274*H274</f>
        <v>0</v>
      </c>
      <c r="S274" s="95">
        <v>0</v>
      </c>
      <c r="T274" s="96">
        <f>S274*H274</f>
        <v>0</v>
      </c>
      <c r="U274" s="156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R274" s="97" t="s">
        <v>83</v>
      </c>
      <c r="AT274" s="97" t="s">
        <v>78</v>
      </c>
      <c r="AU274" s="97" t="s">
        <v>47</v>
      </c>
      <c r="AY274" s="10" t="s">
        <v>75</v>
      </c>
      <c r="BE274" s="98">
        <f>IF(N274="základní",J274,0)</f>
        <v>214.25</v>
      </c>
      <c r="BF274" s="98">
        <f>IF(N274="snížená",J274,0)</f>
        <v>0</v>
      </c>
      <c r="BG274" s="98">
        <f>IF(N274="zákl. přenesená",J274,0)</f>
        <v>0</v>
      </c>
      <c r="BH274" s="98">
        <f>IF(N274="sníž. přenesená",J274,0)</f>
        <v>0</v>
      </c>
      <c r="BI274" s="98">
        <f>IF(N274="nulová",J274,0)</f>
        <v>0</v>
      </c>
      <c r="BJ274" s="10" t="s">
        <v>46</v>
      </c>
      <c r="BK274" s="98">
        <f>ROUND(I274*H274,2)</f>
        <v>214.25</v>
      </c>
      <c r="BL274" s="10" t="s">
        <v>83</v>
      </c>
      <c r="BM274" s="97" t="s">
        <v>324</v>
      </c>
    </row>
    <row r="275" spans="1:65" s="1" customFormat="1" ht="19.5" x14ac:dyDescent="0.2">
      <c r="A275" s="156"/>
      <c r="B275" s="16"/>
      <c r="C275" s="156"/>
      <c r="D275" s="99" t="s">
        <v>84</v>
      </c>
      <c r="E275" s="156"/>
      <c r="F275" s="100" t="s">
        <v>325</v>
      </c>
      <c r="G275" s="156"/>
      <c r="H275" s="156"/>
      <c r="I275" s="101"/>
      <c r="J275" s="156"/>
      <c r="K275" s="156"/>
      <c r="L275" s="16"/>
      <c r="M275" s="102"/>
      <c r="N275" s="103"/>
      <c r="O275" s="27"/>
      <c r="P275" s="27"/>
      <c r="Q275" s="27"/>
      <c r="R275" s="27"/>
      <c r="S275" s="27"/>
      <c r="T275" s="28"/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T275" s="10" t="s">
        <v>84</v>
      </c>
      <c r="AU275" s="10" t="s">
        <v>47</v>
      </c>
    </row>
    <row r="276" spans="1:65" s="1" customFormat="1" ht="29.25" x14ac:dyDescent="0.2">
      <c r="A276" s="156"/>
      <c r="B276" s="16"/>
      <c r="C276" s="156"/>
      <c r="D276" s="99" t="s">
        <v>86</v>
      </c>
      <c r="E276" s="156"/>
      <c r="F276" s="104" t="s">
        <v>217</v>
      </c>
      <c r="G276" s="156"/>
      <c r="H276" s="156"/>
      <c r="I276" s="101"/>
      <c r="J276" s="156"/>
      <c r="K276" s="156"/>
      <c r="L276" s="16"/>
      <c r="M276" s="102"/>
      <c r="N276" s="103"/>
      <c r="O276" s="27"/>
      <c r="P276" s="27"/>
      <c r="Q276" s="27"/>
      <c r="R276" s="27"/>
      <c r="S276" s="27"/>
      <c r="T276" s="28"/>
      <c r="U276" s="156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T276" s="10" t="s">
        <v>86</v>
      </c>
      <c r="AU276" s="10" t="s">
        <v>47</v>
      </c>
    </row>
    <row r="277" spans="1:65" s="6" customFormat="1" x14ac:dyDescent="0.2">
      <c r="B277" s="105"/>
      <c r="D277" s="99" t="s">
        <v>87</v>
      </c>
      <c r="E277" s="106" t="s">
        <v>0</v>
      </c>
      <c r="F277" s="107" t="s">
        <v>326</v>
      </c>
      <c r="H277" s="106" t="s">
        <v>0</v>
      </c>
      <c r="I277" s="108"/>
      <c r="L277" s="105"/>
      <c r="M277" s="109"/>
      <c r="N277" s="110"/>
      <c r="O277" s="110"/>
      <c r="P277" s="110"/>
      <c r="Q277" s="110"/>
      <c r="R277" s="110"/>
      <c r="S277" s="110"/>
      <c r="T277" s="111"/>
      <c r="AT277" s="106" t="s">
        <v>87</v>
      </c>
      <c r="AU277" s="106" t="s">
        <v>47</v>
      </c>
      <c r="AV277" s="6" t="s">
        <v>46</v>
      </c>
      <c r="AW277" s="6" t="s">
        <v>19</v>
      </c>
      <c r="AX277" s="6" t="s">
        <v>45</v>
      </c>
      <c r="AY277" s="106" t="s">
        <v>75</v>
      </c>
    </row>
    <row r="278" spans="1:65" s="7" customFormat="1" x14ac:dyDescent="0.2">
      <c r="B278" s="112"/>
      <c r="D278" s="99" t="s">
        <v>87</v>
      </c>
      <c r="E278" s="113" t="s">
        <v>0</v>
      </c>
      <c r="F278" s="114">
        <v>1</v>
      </c>
      <c r="H278" s="115">
        <v>1</v>
      </c>
      <c r="I278" s="116"/>
      <c r="L278" s="112"/>
      <c r="M278" s="117"/>
      <c r="N278" s="118"/>
      <c r="O278" s="118"/>
      <c r="P278" s="118"/>
      <c r="Q278" s="118"/>
      <c r="R278" s="118"/>
      <c r="S278" s="118"/>
      <c r="T278" s="119"/>
      <c r="AT278" s="113" t="s">
        <v>87</v>
      </c>
      <c r="AU278" s="113" t="s">
        <v>47</v>
      </c>
      <c r="AV278" s="7" t="s">
        <v>47</v>
      </c>
      <c r="AW278" s="7" t="s">
        <v>19</v>
      </c>
      <c r="AX278" s="7" t="s">
        <v>46</v>
      </c>
      <c r="AY278" s="113" t="s">
        <v>75</v>
      </c>
    </row>
    <row r="279" spans="1:65" s="1" customFormat="1" ht="14.45" customHeight="1" x14ac:dyDescent="0.2">
      <c r="A279" s="156"/>
      <c r="B279" s="85"/>
      <c r="C279" s="136" t="s">
        <v>328</v>
      </c>
      <c r="D279" s="136" t="s">
        <v>126</v>
      </c>
      <c r="E279" s="137" t="s">
        <v>329</v>
      </c>
      <c r="F279" s="138" t="s">
        <v>330</v>
      </c>
      <c r="G279" s="139" t="s">
        <v>309</v>
      </c>
      <c r="H279" s="140">
        <v>1</v>
      </c>
      <c r="I279" s="141">
        <v>59.200981249999998</v>
      </c>
      <c r="J279" s="142">
        <f>ROUND(I279*H279,2)</f>
        <v>59.2</v>
      </c>
      <c r="K279" s="138" t="s">
        <v>82</v>
      </c>
      <c r="L279" s="143"/>
      <c r="M279" s="144" t="s">
        <v>0</v>
      </c>
      <c r="N279" s="145" t="s">
        <v>27</v>
      </c>
      <c r="O279" s="27"/>
      <c r="P279" s="95">
        <f>O279*H279</f>
        <v>0</v>
      </c>
      <c r="Q279" s="95">
        <v>2.9E-4</v>
      </c>
      <c r="R279" s="95">
        <f>Q279*H279</f>
        <v>2.9E-4</v>
      </c>
      <c r="S279" s="95">
        <v>0</v>
      </c>
      <c r="T279" s="96">
        <f>S279*H279</f>
        <v>0</v>
      </c>
      <c r="U279" s="156"/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/>
      <c r="AR279" s="97" t="s">
        <v>129</v>
      </c>
      <c r="AT279" s="97" t="s">
        <v>126</v>
      </c>
      <c r="AU279" s="97" t="s">
        <v>47</v>
      </c>
      <c r="AY279" s="10" t="s">
        <v>75</v>
      </c>
      <c r="BE279" s="98">
        <f>IF(N279="základní",J279,0)</f>
        <v>59.2</v>
      </c>
      <c r="BF279" s="98">
        <f>IF(N279="snížená",J279,0)</f>
        <v>0</v>
      </c>
      <c r="BG279" s="98">
        <f>IF(N279="zákl. přenesená",J279,0)</f>
        <v>0</v>
      </c>
      <c r="BH279" s="98">
        <f>IF(N279="sníž. přenesená",J279,0)</f>
        <v>0</v>
      </c>
      <c r="BI279" s="98">
        <f>IF(N279="nulová",J279,0)</f>
        <v>0</v>
      </c>
      <c r="BJ279" s="10" t="s">
        <v>46</v>
      </c>
      <c r="BK279" s="98">
        <f>ROUND(I279*H279,2)</f>
        <v>59.2</v>
      </c>
      <c r="BL279" s="10" t="s">
        <v>83</v>
      </c>
      <c r="BM279" s="97" t="s">
        <v>331</v>
      </c>
    </row>
    <row r="280" spans="1:65" s="1" customFormat="1" x14ac:dyDescent="0.2">
      <c r="A280" s="156"/>
      <c r="B280" s="16"/>
      <c r="C280" s="156"/>
      <c r="D280" s="99" t="s">
        <v>84</v>
      </c>
      <c r="E280" s="156"/>
      <c r="F280" s="100" t="s">
        <v>330</v>
      </c>
      <c r="G280" s="156"/>
      <c r="H280" s="156"/>
      <c r="I280" s="101"/>
      <c r="J280" s="156"/>
      <c r="K280" s="156"/>
      <c r="L280" s="16"/>
      <c r="M280" s="102"/>
      <c r="N280" s="103"/>
      <c r="O280" s="27"/>
      <c r="P280" s="27"/>
      <c r="Q280" s="27"/>
      <c r="R280" s="27"/>
      <c r="S280" s="27"/>
      <c r="T280" s="28"/>
      <c r="U280" s="156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T280" s="10" t="s">
        <v>84</v>
      </c>
      <c r="AU280" s="10" t="s">
        <v>47</v>
      </c>
    </row>
    <row r="281" spans="1:65" s="1" customFormat="1" ht="14.45" customHeight="1" x14ac:dyDescent="0.2">
      <c r="A281" s="156"/>
      <c r="B281" s="85"/>
      <c r="C281" s="86" t="s">
        <v>327</v>
      </c>
      <c r="D281" s="86" t="s">
        <v>78</v>
      </c>
      <c r="E281" s="87" t="s">
        <v>332</v>
      </c>
      <c r="F281" s="88" t="s">
        <v>333</v>
      </c>
      <c r="G281" s="89" t="s">
        <v>270</v>
      </c>
      <c r="H281" s="90">
        <v>2.0099999999999998</v>
      </c>
      <c r="I281" s="91">
        <v>21.984104604889872</v>
      </c>
      <c r="J281" s="92">
        <f>ROUND(I281*H281,2)</f>
        <v>44.19</v>
      </c>
      <c r="K281" s="88" t="s">
        <v>82</v>
      </c>
      <c r="L281" s="16"/>
      <c r="M281" s="93" t="s">
        <v>0</v>
      </c>
      <c r="N281" s="94" t="s">
        <v>27</v>
      </c>
      <c r="O281" s="27"/>
      <c r="P281" s="95">
        <f>O281*H281</f>
        <v>0</v>
      </c>
      <c r="Q281" s="95">
        <v>0</v>
      </c>
      <c r="R281" s="95">
        <f>Q281*H281</f>
        <v>0</v>
      </c>
      <c r="S281" s="95">
        <v>0</v>
      </c>
      <c r="T281" s="96">
        <f>S281*H281</f>
        <v>0</v>
      </c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R281" s="97" t="s">
        <v>83</v>
      </c>
      <c r="AT281" s="97" t="s">
        <v>78</v>
      </c>
      <c r="AU281" s="97" t="s">
        <v>47</v>
      </c>
      <c r="AY281" s="10" t="s">
        <v>75</v>
      </c>
      <c r="BE281" s="98">
        <f>IF(N281="základní",J281,0)</f>
        <v>44.19</v>
      </c>
      <c r="BF281" s="98">
        <f>IF(N281="snížená",J281,0)</f>
        <v>0</v>
      </c>
      <c r="BG281" s="98">
        <f>IF(N281="zákl. přenesená",J281,0)</f>
        <v>0</v>
      </c>
      <c r="BH281" s="98">
        <f>IF(N281="sníž. přenesená",J281,0)</f>
        <v>0</v>
      </c>
      <c r="BI281" s="98">
        <f>IF(N281="nulová",J281,0)</f>
        <v>0</v>
      </c>
      <c r="BJ281" s="10" t="s">
        <v>46</v>
      </c>
      <c r="BK281" s="98">
        <f>ROUND(I281*H281,2)</f>
        <v>44.19</v>
      </c>
      <c r="BL281" s="10" t="s">
        <v>83</v>
      </c>
      <c r="BM281" s="97" t="s">
        <v>334</v>
      </c>
    </row>
    <row r="282" spans="1:65" s="1" customFormat="1" x14ac:dyDescent="0.2">
      <c r="A282" s="156"/>
      <c r="B282" s="16"/>
      <c r="C282" s="156"/>
      <c r="D282" s="99" t="s">
        <v>84</v>
      </c>
      <c r="E282" s="156"/>
      <c r="F282" s="100" t="s">
        <v>335</v>
      </c>
      <c r="G282" s="156"/>
      <c r="H282" s="156"/>
      <c r="I282" s="101"/>
      <c r="J282" s="156"/>
      <c r="K282" s="156"/>
      <c r="L282" s="16"/>
      <c r="M282" s="102"/>
      <c r="N282" s="103"/>
      <c r="O282" s="27"/>
      <c r="P282" s="27"/>
      <c r="Q282" s="27"/>
      <c r="R282" s="27"/>
      <c r="S282" s="27"/>
      <c r="T282" s="28"/>
      <c r="U282" s="156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T282" s="10" t="s">
        <v>84</v>
      </c>
      <c r="AU282" s="10" t="s">
        <v>47</v>
      </c>
    </row>
    <row r="283" spans="1:65" s="1" customFormat="1" ht="19.5" x14ac:dyDescent="0.2">
      <c r="A283" s="156"/>
      <c r="B283" s="16"/>
      <c r="C283" s="156"/>
      <c r="D283" s="99" t="s">
        <v>86</v>
      </c>
      <c r="E283" s="156"/>
      <c r="F283" s="104" t="s">
        <v>336</v>
      </c>
      <c r="G283" s="156"/>
      <c r="H283" s="156"/>
      <c r="I283" s="101"/>
      <c r="J283" s="156"/>
      <c r="K283" s="156"/>
      <c r="L283" s="16"/>
      <c r="M283" s="102"/>
      <c r="N283" s="103"/>
      <c r="O283" s="27"/>
      <c r="P283" s="27"/>
      <c r="Q283" s="27"/>
      <c r="R283" s="27"/>
      <c r="S283" s="27"/>
      <c r="T283" s="28"/>
      <c r="U283" s="156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T283" s="10" t="s">
        <v>86</v>
      </c>
      <c r="AU283" s="10" t="s">
        <v>47</v>
      </c>
    </row>
    <row r="284" spans="1:65" s="1" customFormat="1" ht="24.2" customHeight="1" x14ac:dyDescent="0.2">
      <c r="A284" s="156"/>
      <c r="B284" s="85"/>
      <c r="C284" s="86" t="s">
        <v>169</v>
      </c>
      <c r="D284" s="86" t="s">
        <v>78</v>
      </c>
      <c r="E284" s="87" t="s">
        <v>337</v>
      </c>
      <c r="F284" s="88" t="s">
        <v>338</v>
      </c>
      <c r="G284" s="89" t="s">
        <v>309</v>
      </c>
      <c r="H284" s="90">
        <v>1</v>
      </c>
      <c r="I284" s="91">
        <v>3029.9958423936168</v>
      </c>
      <c r="J284" s="92">
        <f>ROUND(I284*H284,2)</f>
        <v>3030</v>
      </c>
      <c r="K284" s="88" t="s">
        <v>82</v>
      </c>
      <c r="L284" s="16"/>
      <c r="M284" s="93" t="s">
        <v>0</v>
      </c>
      <c r="N284" s="94" t="s">
        <v>27</v>
      </c>
      <c r="O284" s="27"/>
      <c r="P284" s="95">
        <f>O284*H284</f>
        <v>0</v>
      </c>
      <c r="Q284" s="95">
        <v>5.8029999999999998E-2</v>
      </c>
      <c r="R284" s="95">
        <f>Q284*H284</f>
        <v>5.8029999999999998E-2</v>
      </c>
      <c r="S284" s="95">
        <v>0</v>
      </c>
      <c r="T284" s="96">
        <f>S284*H284</f>
        <v>0</v>
      </c>
      <c r="U284" s="156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R284" s="97" t="s">
        <v>83</v>
      </c>
      <c r="AT284" s="97" t="s">
        <v>78</v>
      </c>
      <c r="AU284" s="97" t="s">
        <v>47</v>
      </c>
      <c r="AY284" s="10" t="s">
        <v>75</v>
      </c>
      <c r="BE284" s="98">
        <f>IF(N284="základní",J284,0)</f>
        <v>3030</v>
      </c>
      <c r="BF284" s="98">
        <f>IF(N284="snížená",J284,0)</f>
        <v>0</v>
      </c>
      <c r="BG284" s="98">
        <f>IF(N284="zákl. přenesená",J284,0)</f>
        <v>0</v>
      </c>
      <c r="BH284" s="98">
        <f>IF(N284="sníž. přenesená",J284,0)</f>
        <v>0</v>
      </c>
      <c r="BI284" s="98">
        <f>IF(N284="nulová",J284,0)</f>
        <v>0</v>
      </c>
      <c r="BJ284" s="10" t="s">
        <v>46</v>
      </c>
      <c r="BK284" s="98">
        <f>ROUND(I284*H284,2)</f>
        <v>3030</v>
      </c>
      <c r="BL284" s="10" t="s">
        <v>83</v>
      </c>
      <c r="BM284" s="97" t="s">
        <v>339</v>
      </c>
    </row>
    <row r="285" spans="1:65" s="1" customFormat="1" ht="29.25" x14ac:dyDescent="0.2">
      <c r="A285" s="156"/>
      <c r="B285" s="16"/>
      <c r="C285" s="156"/>
      <c r="D285" s="99" t="s">
        <v>84</v>
      </c>
      <c r="E285" s="156"/>
      <c r="F285" s="100" t="s">
        <v>340</v>
      </c>
      <c r="G285" s="156"/>
      <c r="H285" s="156"/>
      <c r="I285" s="101"/>
      <c r="J285" s="156"/>
      <c r="K285" s="156"/>
      <c r="L285" s="16"/>
      <c r="M285" s="102"/>
      <c r="N285" s="103"/>
      <c r="O285" s="27"/>
      <c r="P285" s="27"/>
      <c r="Q285" s="27"/>
      <c r="R285" s="27"/>
      <c r="S285" s="27"/>
      <c r="T285" s="28"/>
      <c r="U285" s="156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T285" s="10" t="s">
        <v>84</v>
      </c>
      <c r="AU285" s="10" t="s">
        <v>47</v>
      </c>
    </row>
    <row r="286" spans="1:65" s="1" customFormat="1" ht="29.25" x14ac:dyDescent="0.2">
      <c r="A286" s="156"/>
      <c r="B286" s="16"/>
      <c r="C286" s="156"/>
      <c r="D286" s="99" t="s">
        <v>86</v>
      </c>
      <c r="E286" s="156"/>
      <c r="F286" s="104" t="s">
        <v>217</v>
      </c>
      <c r="G286" s="156"/>
      <c r="H286" s="156"/>
      <c r="I286" s="101"/>
      <c r="J286" s="156"/>
      <c r="K286" s="156"/>
      <c r="L286" s="16"/>
      <c r="M286" s="102"/>
      <c r="N286" s="103"/>
      <c r="O286" s="27"/>
      <c r="P286" s="27"/>
      <c r="Q286" s="27"/>
      <c r="R286" s="27"/>
      <c r="S286" s="27"/>
      <c r="T286" s="28"/>
      <c r="U286" s="156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T286" s="10" t="s">
        <v>86</v>
      </c>
      <c r="AU286" s="10" t="s">
        <v>47</v>
      </c>
    </row>
    <row r="287" spans="1:65" s="7" customFormat="1" x14ac:dyDescent="0.2">
      <c r="B287" s="112"/>
      <c r="D287" s="99" t="s">
        <v>87</v>
      </c>
      <c r="E287" s="113" t="s">
        <v>0</v>
      </c>
      <c r="F287" s="114">
        <v>1</v>
      </c>
      <c r="H287" s="115">
        <v>1</v>
      </c>
      <c r="I287" s="116"/>
      <c r="L287" s="112"/>
      <c r="M287" s="117"/>
      <c r="N287" s="118"/>
      <c r="O287" s="118"/>
      <c r="P287" s="118"/>
      <c r="Q287" s="118"/>
      <c r="R287" s="118"/>
      <c r="S287" s="118"/>
      <c r="T287" s="119"/>
      <c r="AT287" s="113" t="s">
        <v>87</v>
      </c>
      <c r="AU287" s="113" t="s">
        <v>47</v>
      </c>
      <c r="AV287" s="7" t="s">
        <v>47</v>
      </c>
      <c r="AW287" s="7" t="s">
        <v>19</v>
      </c>
      <c r="AX287" s="7" t="s">
        <v>46</v>
      </c>
      <c r="AY287" s="113" t="s">
        <v>75</v>
      </c>
    </row>
    <row r="288" spans="1:65" s="1" customFormat="1" ht="24.2" customHeight="1" x14ac:dyDescent="0.2">
      <c r="A288" s="156"/>
      <c r="B288" s="85"/>
      <c r="C288" s="86" t="s">
        <v>173</v>
      </c>
      <c r="D288" s="86" t="s">
        <v>78</v>
      </c>
      <c r="E288" s="87" t="s">
        <v>341</v>
      </c>
      <c r="F288" s="88" t="s">
        <v>342</v>
      </c>
      <c r="G288" s="89" t="s">
        <v>309</v>
      </c>
      <c r="H288" s="90">
        <v>1</v>
      </c>
      <c r="I288" s="91">
        <v>1731.8858985723084</v>
      </c>
      <c r="J288" s="92">
        <f>ROUND(I288*H288,2)</f>
        <v>1731.89</v>
      </c>
      <c r="K288" s="88" t="s">
        <v>82</v>
      </c>
      <c r="L288" s="16"/>
      <c r="M288" s="93" t="s">
        <v>0</v>
      </c>
      <c r="N288" s="94" t="s">
        <v>27</v>
      </c>
      <c r="O288" s="27"/>
      <c r="P288" s="95">
        <f>O288*H288</f>
        <v>0</v>
      </c>
      <c r="Q288" s="95">
        <v>1.136E-2</v>
      </c>
      <c r="R288" s="95">
        <f>Q288*H288</f>
        <v>1.136E-2</v>
      </c>
      <c r="S288" s="95">
        <v>0</v>
      </c>
      <c r="T288" s="96">
        <f>S288*H288</f>
        <v>0</v>
      </c>
      <c r="U288" s="156"/>
      <c r="V288" s="156"/>
      <c r="W288" s="156"/>
      <c r="X288" s="156"/>
      <c r="Y288" s="156"/>
      <c r="Z288" s="156"/>
      <c r="AA288" s="156"/>
      <c r="AB288" s="156"/>
      <c r="AC288" s="156"/>
      <c r="AD288" s="156"/>
      <c r="AE288" s="156"/>
      <c r="AR288" s="97" t="s">
        <v>83</v>
      </c>
      <c r="AT288" s="97" t="s">
        <v>78</v>
      </c>
      <c r="AU288" s="97" t="s">
        <v>47</v>
      </c>
      <c r="AY288" s="10" t="s">
        <v>75</v>
      </c>
      <c r="BE288" s="98">
        <f>IF(N288="základní",J288,0)</f>
        <v>1731.89</v>
      </c>
      <c r="BF288" s="98">
        <f>IF(N288="snížená",J288,0)</f>
        <v>0</v>
      </c>
      <c r="BG288" s="98">
        <f>IF(N288="zákl. přenesená",J288,0)</f>
        <v>0</v>
      </c>
      <c r="BH288" s="98">
        <f>IF(N288="sníž. přenesená",J288,0)</f>
        <v>0</v>
      </c>
      <c r="BI288" s="98">
        <f>IF(N288="nulová",J288,0)</f>
        <v>0</v>
      </c>
      <c r="BJ288" s="10" t="s">
        <v>46</v>
      </c>
      <c r="BK288" s="98">
        <f>ROUND(I288*H288,2)</f>
        <v>1731.89</v>
      </c>
      <c r="BL288" s="10" t="s">
        <v>83</v>
      </c>
      <c r="BM288" s="97" t="s">
        <v>343</v>
      </c>
    </row>
    <row r="289" spans="1:65" s="1" customFormat="1" ht="19.5" x14ac:dyDescent="0.2">
      <c r="A289" s="156"/>
      <c r="B289" s="16"/>
      <c r="C289" s="156"/>
      <c r="D289" s="99" t="s">
        <v>84</v>
      </c>
      <c r="E289" s="156"/>
      <c r="F289" s="100" t="s">
        <v>344</v>
      </c>
      <c r="G289" s="156"/>
      <c r="H289" s="156"/>
      <c r="I289" s="101"/>
      <c r="J289" s="156"/>
      <c r="K289" s="156"/>
      <c r="L289" s="16"/>
      <c r="M289" s="102"/>
      <c r="N289" s="103"/>
      <c r="O289" s="27"/>
      <c r="P289" s="27"/>
      <c r="Q289" s="27"/>
      <c r="R289" s="27"/>
      <c r="S289" s="27"/>
      <c r="T289" s="28"/>
      <c r="U289" s="156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T289" s="10" t="s">
        <v>84</v>
      </c>
      <c r="AU289" s="10" t="s">
        <v>47</v>
      </c>
    </row>
    <row r="290" spans="1:65" s="1" customFormat="1" ht="24.2" customHeight="1" x14ac:dyDescent="0.2">
      <c r="A290" s="156"/>
      <c r="B290" s="85"/>
      <c r="C290" s="86" t="s">
        <v>345</v>
      </c>
      <c r="D290" s="86" t="s">
        <v>78</v>
      </c>
      <c r="E290" s="87" t="s">
        <v>346</v>
      </c>
      <c r="F290" s="88" t="s">
        <v>347</v>
      </c>
      <c r="G290" s="89" t="s">
        <v>309</v>
      </c>
      <c r="H290" s="90">
        <v>1</v>
      </c>
      <c r="I290" s="91">
        <v>769.70783374577138</v>
      </c>
      <c r="J290" s="92">
        <f>ROUND(I290*H290,2)</f>
        <v>769.71</v>
      </c>
      <c r="K290" s="88" t="s">
        <v>82</v>
      </c>
      <c r="L290" s="16"/>
      <c r="M290" s="93" t="s">
        <v>0</v>
      </c>
      <c r="N290" s="94" t="s">
        <v>27</v>
      </c>
      <c r="O290" s="27"/>
      <c r="P290" s="95">
        <f>O290*H290</f>
        <v>0</v>
      </c>
      <c r="Q290" s="95">
        <v>6.2199999999999998E-3</v>
      </c>
      <c r="R290" s="95">
        <f>Q290*H290</f>
        <v>6.2199999999999998E-3</v>
      </c>
      <c r="S290" s="95">
        <v>0</v>
      </c>
      <c r="T290" s="96">
        <f>S290*H290</f>
        <v>0</v>
      </c>
      <c r="U290" s="156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R290" s="97" t="s">
        <v>83</v>
      </c>
      <c r="AT290" s="97" t="s">
        <v>78</v>
      </c>
      <c r="AU290" s="97" t="s">
        <v>47</v>
      </c>
      <c r="AY290" s="10" t="s">
        <v>75</v>
      </c>
      <c r="BE290" s="98">
        <f>IF(N290="základní",J290,0)</f>
        <v>769.71</v>
      </c>
      <c r="BF290" s="98">
        <f>IF(N290="snížená",J290,0)</f>
        <v>0</v>
      </c>
      <c r="BG290" s="98">
        <f>IF(N290="zákl. přenesená",J290,0)</f>
        <v>0</v>
      </c>
      <c r="BH290" s="98">
        <f>IF(N290="sníž. přenesená",J290,0)</f>
        <v>0</v>
      </c>
      <c r="BI290" s="98">
        <f>IF(N290="nulová",J290,0)</f>
        <v>0</v>
      </c>
      <c r="BJ290" s="10" t="s">
        <v>46</v>
      </c>
      <c r="BK290" s="98">
        <f>ROUND(I290*H290,2)</f>
        <v>769.71</v>
      </c>
      <c r="BL290" s="10" t="s">
        <v>83</v>
      </c>
      <c r="BM290" s="97" t="s">
        <v>348</v>
      </c>
    </row>
    <row r="291" spans="1:65" s="1" customFormat="1" ht="29.25" x14ac:dyDescent="0.2">
      <c r="A291" s="156"/>
      <c r="B291" s="16"/>
      <c r="C291" s="156"/>
      <c r="D291" s="99" t="s">
        <v>84</v>
      </c>
      <c r="E291" s="156"/>
      <c r="F291" s="100" t="s">
        <v>349</v>
      </c>
      <c r="G291" s="156"/>
      <c r="H291" s="156"/>
      <c r="I291" s="101"/>
      <c r="J291" s="156"/>
      <c r="K291" s="156"/>
      <c r="L291" s="16"/>
      <c r="M291" s="102"/>
      <c r="N291" s="103"/>
      <c r="O291" s="27"/>
      <c r="P291" s="27"/>
      <c r="Q291" s="27"/>
      <c r="R291" s="27"/>
      <c r="S291" s="27"/>
      <c r="T291" s="28"/>
      <c r="U291" s="156"/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/>
      <c r="AT291" s="10" t="s">
        <v>84</v>
      </c>
      <c r="AU291" s="10" t="s">
        <v>47</v>
      </c>
    </row>
    <row r="292" spans="1:65" s="1" customFormat="1" ht="24.2" customHeight="1" x14ac:dyDescent="0.2">
      <c r="A292" s="156"/>
      <c r="B292" s="85"/>
      <c r="C292" s="86" t="s">
        <v>177</v>
      </c>
      <c r="D292" s="86" t="s">
        <v>78</v>
      </c>
      <c r="E292" s="87" t="s">
        <v>350</v>
      </c>
      <c r="F292" s="88" t="s">
        <v>351</v>
      </c>
      <c r="G292" s="89" t="s">
        <v>309</v>
      </c>
      <c r="H292" s="90">
        <v>1</v>
      </c>
      <c r="I292" s="91">
        <v>809.35201412271431</v>
      </c>
      <c r="J292" s="92">
        <f>ROUND(I292*H292,2)</f>
        <v>809.35</v>
      </c>
      <c r="K292" s="88" t="s">
        <v>82</v>
      </c>
      <c r="L292" s="16"/>
      <c r="M292" s="93" t="s">
        <v>0</v>
      </c>
      <c r="N292" s="94" t="s">
        <v>27</v>
      </c>
      <c r="O292" s="27"/>
      <c r="P292" s="95">
        <f>O292*H292</f>
        <v>0</v>
      </c>
      <c r="Q292" s="95">
        <v>0</v>
      </c>
      <c r="R292" s="95">
        <f>Q292*H292</f>
        <v>0</v>
      </c>
      <c r="S292" s="95">
        <v>0</v>
      </c>
      <c r="T292" s="96">
        <f>S292*H292</f>
        <v>0</v>
      </c>
      <c r="U292" s="156"/>
      <c r="V292" s="156"/>
      <c r="W292" s="156"/>
      <c r="X292" s="156"/>
      <c r="Y292" s="156"/>
      <c r="Z292" s="156"/>
      <c r="AA292" s="156"/>
      <c r="AB292" s="156"/>
      <c r="AC292" s="156"/>
      <c r="AD292" s="156"/>
      <c r="AE292" s="156"/>
      <c r="AR292" s="97" t="s">
        <v>83</v>
      </c>
      <c r="AT292" s="97" t="s">
        <v>78</v>
      </c>
      <c r="AU292" s="97" t="s">
        <v>47</v>
      </c>
      <c r="AY292" s="10" t="s">
        <v>75</v>
      </c>
      <c r="BE292" s="98">
        <f>IF(N292="základní",J292,0)</f>
        <v>809.35</v>
      </c>
      <c r="BF292" s="98">
        <f>IF(N292="snížená",J292,0)</f>
        <v>0</v>
      </c>
      <c r="BG292" s="98">
        <f>IF(N292="zákl. přenesená",J292,0)</f>
        <v>0</v>
      </c>
      <c r="BH292" s="98">
        <f>IF(N292="sníž. přenesená",J292,0)</f>
        <v>0</v>
      </c>
      <c r="BI292" s="98">
        <f>IF(N292="nulová",J292,0)</f>
        <v>0</v>
      </c>
      <c r="BJ292" s="10" t="s">
        <v>46</v>
      </c>
      <c r="BK292" s="98">
        <f>ROUND(I292*H292,2)</f>
        <v>809.35</v>
      </c>
      <c r="BL292" s="10" t="s">
        <v>83</v>
      </c>
      <c r="BM292" s="97" t="s">
        <v>352</v>
      </c>
    </row>
    <row r="293" spans="1:65" s="1" customFormat="1" ht="29.25" x14ac:dyDescent="0.2">
      <c r="A293" s="156"/>
      <c r="B293" s="16"/>
      <c r="C293" s="156"/>
      <c r="D293" s="99" t="s">
        <v>84</v>
      </c>
      <c r="E293" s="156"/>
      <c r="F293" s="100" t="s">
        <v>353</v>
      </c>
      <c r="G293" s="156"/>
      <c r="H293" s="156"/>
      <c r="I293" s="101"/>
      <c r="J293" s="156"/>
      <c r="K293" s="156"/>
      <c r="L293" s="16"/>
      <c r="M293" s="102"/>
      <c r="N293" s="103"/>
      <c r="O293" s="27"/>
      <c r="P293" s="27"/>
      <c r="Q293" s="27"/>
      <c r="R293" s="27"/>
      <c r="S293" s="27"/>
      <c r="T293" s="28"/>
      <c r="U293" s="156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T293" s="10" t="s">
        <v>84</v>
      </c>
      <c r="AU293" s="10" t="s">
        <v>47</v>
      </c>
    </row>
    <row r="294" spans="1:65" s="1" customFormat="1" ht="24.2" customHeight="1" x14ac:dyDescent="0.2">
      <c r="A294" s="156"/>
      <c r="B294" s="85"/>
      <c r="C294" s="86" t="s">
        <v>354</v>
      </c>
      <c r="D294" s="86" t="s">
        <v>78</v>
      </c>
      <c r="E294" s="87" t="s">
        <v>355</v>
      </c>
      <c r="F294" s="88" t="s">
        <v>356</v>
      </c>
      <c r="G294" s="89" t="s">
        <v>309</v>
      </c>
      <c r="H294" s="90">
        <v>1</v>
      </c>
      <c r="I294" s="91">
        <v>3446.6463092111458</v>
      </c>
      <c r="J294" s="92">
        <f>ROUND(I294*H294,2)</f>
        <v>3446.65</v>
      </c>
      <c r="K294" s="88" t="s">
        <v>82</v>
      </c>
      <c r="L294" s="16"/>
      <c r="M294" s="93" t="s">
        <v>0</v>
      </c>
      <c r="N294" s="94" t="s">
        <v>27</v>
      </c>
      <c r="O294" s="27"/>
      <c r="P294" s="95">
        <f>O294*H294</f>
        <v>0</v>
      </c>
      <c r="Q294" s="95">
        <v>5.4539999999999998E-2</v>
      </c>
      <c r="R294" s="95">
        <f>Q294*H294</f>
        <v>5.4539999999999998E-2</v>
      </c>
      <c r="S294" s="95">
        <v>0</v>
      </c>
      <c r="T294" s="96">
        <f>S294*H294</f>
        <v>0</v>
      </c>
      <c r="U294" s="156"/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/>
      <c r="AR294" s="97" t="s">
        <v>83</v>
      </c>
      <c r="AT294" s="97" t="s">
        <v>78</v>
      </c>
      <c r="AU294" s="97" t="s">
        <v>47</v>
      </c>
      <c r="AY294" s="10" t="s">
        <v>75</v>
      </c>
      <c r="BE294" s="98">
        <f>IF(N294="základní",J294,0)</f>
        <v>3446.65</v>
      </c>
      <c r="BF294" s="98">
        <f>IF(N294="snížená",J294,0)</f>
        <v>0</v>
      </c>
      <c r="BG294" s="98">
        <f>IF(N294="zákl. přenesená",J294,0)</f>
        <v>0</v>
      </c>
      <c r="BH294" s="98">
        <f>IF(N294="sníž. přenesená",J294,0)</f>
        <v>0</v>
      </c>
      <c r="BI294" s="98">
        <f>IF(N294="nulová",J294,0)</f>
        <v>0</v>
      </c>
      <c r="BJ294" s="10" t="s">
        <v>46</v>
      </c>
      <c r="BK294" s="98">
        <f>ROUND(I294*H294,2)</f>
        <v>3446.65</v>
      </c>
      <c r="BL294" s="10" t="s">
        <v>83</v>
      </c>
      <c r="BM294" s="97" t="s">
        <v>357</v>
      </c>
    </row>
    <row r="295" spans="1:65" s="1" customFormat="1" ht="29.25" x14ac:dyDescent="0.2">
      <c r="A295" s="156"/>
      <c r="B295" s="16"/>
      <c r="C295" s="156"/>
      <c r="D295" s="99" t="s">
        <v>84</v>
      </c>
      <c r="E295" s="156"/>
      <c r="F295" s="100" t="s">
        <v>358</v>
      </c>
      <c r="G295" s="156"/>
      <c r="H295" s="156"/>
      <c r="I295" s="101"/>
      <c r="J295" s="156"/>
      <c r="K295" s="156"/>
      <c r="L295" s="16"/>
      <c r="M295" s="102"/>
      <c r="N295" s="103"/>
      <c r="O295" s="27"/>
      <c r="P295" s="27"/>
      <c r="Q295" s="27"/>
      <c r="R295" s="27"/>
      <c r="S295" s="27"/>
      <c r="T295" s="28"/>
      <c r="U295" s="156"/>
      <c r="V295" s="156"/>
      <c r="W295" s="156"/>
      <c r="X295" s="156"/>
      <c r="Y295" s="156"/>
      <c r="Z295" s="156"/>
      <c r="AA295" s="156"/>
      <c r="AB295" s="156"/>
      <c r="AC295" s="156"/>
      <c r="AD295" s="156"/>
      <c r="AE295" s="156"/>
      <c r="AT295" s="10" t="s">
        <v>84</v>
      </c>
      <c r="AU295" s="10" t="s">
        <v>47</v>
      </c>
    </row>
    <row r="296" spans="1:65" s="5" customFormat="1" ht="22.9" customHeight="1" x14ac:dyDescent="0.2">
      <c r="B296" s="72"/>
      <c r="D296" s="73" t="s">
        <v>44</v>
      </c>
      <c r="E296" s="83" t="s">
        <v>390</v>
      </c>
      <c r="F296" s="83" t="s">
        <v>391</v>
      </c>
      <c r="I296" s="75"/>
      <c r="J296" s="84">
        <f>BK296</f>
        <v>596.33999999999992</v>
      </c>
      <c r="L296" s="72"/>
      <c r="M296" s="77"/>
      <c r="N296" s="78"/>
      <c r="O296" s="78"/>
      <c r="P296" s="79">
        <f>SUM(P297:P312)</f>
        <v>0</v>
      </c>
      <c r="Q296" s="78"/>
      <c r="R296" s="79">
        <f>SUM(R297:R312)</f>
        <v>0</v>
      </c>
      <c r="S296" s="78"/>
      <c r="T296" s="80">
        <f>SUM(T297:T312)</f>
        <v>0</v>
      </c>
      <c r="AR296" s="73" t="s">
        <v>46</v>
      </c>
      <c r="AT296" s="81" t="s">
        <v>44</v>
      </c>
      <c r="AU296" s="81" t="s">
        <v>46</v>
      </c>
      <c r="AY296" s="73" t="s">
        <v>75</v>
      </c>
      <c r="BK296" s="82">
        <f>SUM(BK297:BK312)</f>
        <v>596.33999999999992</v>
      </c>
    </row>
    <row r="297" spans="1:65" s="1" customFormat="1" ht="14.45" customHeight="1" x14ac:dyDescent="0.2">
      <c r="A297" s="156"/>
      <c r="B297" s="85"/>
      <c r="C297" s="86" t="s">
        <v>379</v>
      </c>
      <c r="D297" s="86" t="s">
        <v>78</v>
      </c>
      <c r="E297" s="87" t="s">
        <v>181</v>
      </c>
      <c r="F297" s="88" t="s">
        <v>182</v>
      </c>
      <c r="G297" s="89" t="s">
        <v>119</v>
      </c>
      <c r="H297" s="90">
        <v>1.6279999999999999</v>
      </c>
      <c r="I297" s="91">
        <v>40.477390926043419</v>
      </c>
      <c r="J297" s="92">
        <f>ROUND(I297*H297,2)</f>
        <v>65.900000000000006</v>
      </c>
      <c r="K297" s="88" t="s">
        <v>82</v>
      </c>
      <c r="L297" s="16"/>
      <c r="M297" s="93" t="s">
        <v>0</v>
      </c>
      <c r="N297" s="94" t="s">
        <v>27</v>
      </c>
      <c r="O297" s="27"/>
      <c r="P297" s="95">
        <f>O297*H297</f>
        <v>0</v>
      </c>
      <c r="Q297" s="95">
        <v>0</v>
      </c>
      <c r="R297" s="95">
        <f>Q297*H297</f>
        <v>0</v>
      </c>
      <c r="S297" s="95">
        <v>0</v>
      </c>
      <c r="T297" s="96">
        <f>S297*H297</f>
        <v>0</v>
      </c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R297" s="97" t="s">
        <v>83</v>
      </c>
      <c r="AT297" s="97" t="s">
        <v>78</v>
      </c>
      <c r="AU297" s="97" t="s">
        <v>47</v>
      </c>
      <c r="AY297" s="10" t="s">
        <v>75</v>
      </c>
      <c r="BE297" s="98">
        <f>IF(N297="základní",J297,0)</f>
        <v>65.900000000000006</v>
      </c>
      <c r="BF297" s="98">
        <f>IF(N297="snížená",J297,0)</f>
        <v>0</v>
      </c>
      <c r="BG297" s="98">
        <f>IF(N297="zákl. přenesená",J297,0)</f>
        <v>0</v>
      </c>
      <c r="BH297" s="98">
        <f>IF(N297="sníž. přenesená",J297,0)</f>
        <v>0</v>
      </c>
      <c r="BI297" s="98">
        <f>IF(N297="nulová",J297,0)</f>
        <v>0</v>
      </c>
      <c r="BJ297" s="10" t="s">
        <v>46</v>
      </c>
      <c r="BK297" s="98">
        <f>ROUND(I297*H297,2)</f>
        <v>65.900000000000006</v>
      </c>
      <c r="BL297" s="10" t="s">
        <v>83</v>
      </c>
      <c r="BM297" s="97" t="s">
        <v>393</v>
      </c>
    </row>
    <row r="298" spans="1:65" s="1" customFormat="1" ht="19.5" x14ac:dyDescent="0.2">
      <c r="A298" s="156"/>
      <c r="B298" s="16"/>
      <c r="C298" s="156"/>
      <c r="D298" s="99" t="s">
        <v>84</v>
      </c>
      <c r="E298" s="156"/>
      <c r="F298" s="100" t="s">
        <v>183</v>
      </c>
      <c r="G298" s="156"/>
      <c r="H298" s="156"/>
      <c r="I298" s="101"/>
      <c r="J298" s="156"/>
      <c r="K298" s="156"/>
      <c r="L298" s="16"/>
      <c r="M298" s="102"/>
      <c r="N298" s="103"/>
      <c r="O298" s="27"/>
      <c r="P298" s="27"/>
      <c r="Q298" s="27"/>
      <c r="R298" s="27"/>
      <c r="S298" s="27"/>
      <c r="T298" s="28"/>
      <c r="U298" s="156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T298" s="10" t="s">
        <v>84</v>
      </c>
      <c r="AU298" s="10" t="s">
        <v>47</v>
      </c>
    </row>
    <row r="299" spans="1:65" s="7" customFormat="1" x14ac:dyDescent="0.2">
      <c r="B299" s="112"/>
      <c r="D299" s="99" t="s">
        <v>87</v>
      </c>
      <c r="E299" s="113" t="s">
        <v>0</v>
      </c>
      <c r="F299" s="114" t="s">
        <v>488</v>
      </c>
      <c r="H299" s="115">
        <f>1.809*0.4*2</f>
        <v>1.4472</v>
      </c>
      <c r="I299" s="116"/>
      <c r="L299" s="112"/>
      <c r="M299" s="117"/>
      <c r="N299" s="118"/>
      <c r="O299" s="118"/>
      <c r="P299" s="118"/>
      <c r="Q299" s="118"/>
      <c r="R299" s="118"/>
      <c r="S299" s="118"/>
      <c r="T299" s="119"/>
      <c r="AT299" s="113" t="s">
        <v>87</v>
      </c>
      <c r="AU299" s="113" t="s">
        <v>47</v>
      </c>
      <c r="AV299" s="7" t="s">
        <v>47</v>
      </c>
      <c r="AW299" s="7" t="s">
        <v>19</v>
      </c>
      <c r="AX299" s="7" t="s">
        <v>45</v>
      </c>
      <c r="AY299" s="113" t="s">
        <v>75</v>
      </c>
    </row>
    <row r="300" spans="1:65" s="7" customFormat="1" x14ac:dyDescent="0.2">
      <c r="B300" s="112"/>
      <c r="D300" s="99" t="s">
        <v>87</v>
      </c>
      <c r="E300" s="113" t="s">
        <v>0</v>
      </c>
      <c r="F300" s="114" t="s">
        <v>489</v>
      </c>
      <c r="H300" s="115">
        <f>1.809*0.05*2</f>
        <v>0.18090000000000001</v>
      </c>
      <c r="I300" s="116"/>
      <c r="L300" s="112"/>
      <c r="M300" s="117"/>
      <c r="N300" s="118"/>
      <c r="O300" s="118"/>
      <c r="P300" s="118"/>
      <c r="Q300" s="118"/>
      <c r="R300" s="118"/>
      <c r="S300" s="118"/>
      <c r="T300" s="119"/>
      <c r="AT300" s="113" t="s">
        <v>87</v>
      </c>
      <c r="AU300" s="113" t="s">
        <v>47</v>
      </c>
      <c r="AV300" s="7" t="s">
        <v>47</v>
      </c>
      <c r="AW300" s="7" t="s">
        <v>19</v>
      </c>
      <c r="AX300" s="7" t="s">
        <v>45</v>
      </c>
      <c r="AY300" s="113" t="s">
        <v>75</v>
      </c>
    </row>
    <row r="301" spans="1:65" s="9" customFormat="1" x14ac:dyDescent="0.2">
      <c r="B301" s="128"/>
      <c r="D301" s="99" t="s">
        <v>87</v>
      </c>
      <c r="E301" s="129" t="s">
        <v>0</v>
      </c>
      <c r="F301" s="130" t="s">
        <v>103</v>
      </c>
      <c r="H301" s="131">
        <f>H299+H300</f>
        <v>1.6281000000000001</v>
      </c>
      <c r="I301" s="132"/>
      <c r="L301" s="128"/>
      <c r="M301" s="133"/>
      <c r="N301" s="134"/>
      <c r="O301" s="134"/>
      <c r="P301" s="134"/>
      <c r="Q301" s="134"/>
      <c r="R301" s="134"/>
      <c r="S301" s="134"/>
      <c r="T301" s="135"/>
      <c r="AT301" s="129" t="s">
        <v>87</v>
      </c>
      <c r="AU301" s="129" t="s">
        <v>47</v>
      </c>
      <c r="AV301" s="9" t="s">
        <v>83</v>
      </c>
      <c r="AW301" s="9" t="s">
        <v>19</v>
      </c>
      <c r="AX301" s="9" t="s">
        <v>46</v>
      </c>
      <c r="AY301" s="129" t="s">
        <v>75</v>
      </c>
    </row>
    <row r="302" spans="1:65" s="1" customFormat="1" ht="24.2" customHeight="1" x14ac:dyDescent="0.2">
      <c r="A302" s="156"/>
      <c r="B302" s="85"/>
      <c r="C302" s="86" t="s">
        <v>385</v>
      </c>
      <c r="D302" s="86" t="s">
        <v>78</v>
      </c>
      <c r="E302" s="87" t="s">
        <v>186</v>
      </c>
      <c r="F302" s="88" t="s">
        <v>187</v>
      </c>
      <c r="G302" s="89" t="s">
        <v>119</v>
      </c>
      <c r="H302" s="90">
        <v>22.792000000000002</v>
      </c>
      <c r="I302" s="91">
        <v>3.1192340975392101</v>
      </c>
      <c r="J302" s="92">
        <f>ROUND(I302*H302,2)</f>
        <v>71.09</v>
      </c>
      <c r="K302" s="88" t="s">
        <v>82</v>
      </c>
      <c r="L302" s="16"/>
      <c r="M302" s="93" t="s">
        <v>0</v>
      </c>
      <c r="N302" s="94" t="s">
        <v>27</v>
      </c>
      <c r="O302" s="27"/>
      <c r="P302" s="95">
        <f>O302*H302</f>
        <v>0</v>
      </c>
      <c r="Q302" s="95">
        <v>0</v>
      </c>
      <c r="R302" s="95">
        <f>Q302*H302</f>
        <v>0</v>
      </c>
      <c r="S302" s="95">
        <v>0</v>
      </c>
      <c r="T302" s="96">
        <f>S302*H302</f>
        <v>0</v>
      </c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R302" s="97" t="s">
        <v>83</v>
      </c>
      <c r="AT302" s="97" t="s">
        <v>78</v>
      </c>
      <c r="AU302" s="97" t="s">
        <v>47</v>
      </c>
      <c r="AY302" s="10" t="s">
        <v>75</v>
      </c>
      <c r="BE302" s="98">
        <f>IF(N302="základní",J302,0)</f>
        <v>71.09</v>
      </c>
      <c r="BF302" s="98">
        <f>IF(N302="snížená",J302,0)</f>
        <v>0</v>
      </c>
      <c r="BG302" s="98">
        <f>IF(N302="zákl. přenesená",J302,0)</f>
        <v>0</v>
      </c>
      <c r="BH302" s="98">
        <f>IF(N302="sníž. přenesená",J302,0)</f>
        <v>0</v>
      </c>
      <c r="BI302" s="98">
        <f>IF(N302="nulová",J302,0)</f>
        <v>0</v>
      </c>
      <c r="BJ302" s="10" t="s">
        <v>46</v>
      </c>
      <c r="BK302" s="98">
        <f>ROUND(I302*H302,2)</f>
        <v>71.09</v>
      </c>
      <c r="BL302" s="10" t="s">
        <v>83</v>
      </c>
      <c r="BM302" s="97" t="s">
        <v>395</v>
      </c>
    </row>
    <row r="303" spans="1:65" s="1" customFormat="1" ht="29.25" x14ac:dyDescent="0.2">
      <c r="A303" s="156"/>
      <c r="B303" s="16"/>
      <c r="C303" s="156"/>
      <c r="D303" s="99" t="s">
        <v>84</v>
      </c>
      <c r="E303" s="156"/>
      <c r="F303" s="100" t="s">
        <v>188</v>
      </c>
      <c r="G303" s="156"/>
      <c r="H303" s="156"/>
      <c r="I303" s="101"/>
      <c r="J303" s="156"/>
      <c r="K303" s="156"/>
      <c r="L303" s="16"/>
      <c r="M303" s="102"/>
      <c r="N303" s="103"/>
      <c r="O303" s="27"/>
      <c r="P303" s="27"/>
      <c r="Q303" s="27"/>
      <c r="R303" s="27"/>
      <c r="S303" s="27"/>
      <c r="T303" s="28"/>
      <c r="U303" s="156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T303" s="10" t="s">
        <v>84</v>
      </c>
      <c r="AU303" s="10" t="s">
        <v>47</v>
      </c>
    </row>
    <row r="304" spans="1:65" s="7" customFormat="1" x14ac:dyDescent="0.2">
      <c r="B304" s="112"/>
      <c r="D304" s="99" t="s">
        <v>87</v>
      </c>
      <c r="F304" s="114" t="s">
        <v>490</v>
      </c>
      <c r="H304" s="115">
        <f>1.628*14</f>
        <v>22.791999999999998</v>
      </c>
      <c r="I304" s="116"/>
      <c r="L304" s="112"/>
      <c r="M304" s="117"/>
      <c r="N304" s="118"/>
      <c r="O304" s="118"/>
      <c r="P304" s="118"/>
      <c r="Q304" s="118"/>
      <c r="R304" s="118"/>
      <c r="S304" s="118"/>
      <c r="T304" s="119"/>
      <c r="AT304" s="113" t="s">
        <v>87</v>
      </c>
      <c r="AU304" s="113" t="s">
        <v>47</v>
      </c>
      <c r="AV304" s="7" t="s">
        <v>47</v>
      </c>
      <c r="AW304" s="7" t="s">
        <v>1</v>
      </c>
      <c r="AX304" s="7" t="s">
        <v>46</v>
      </c>
      <c r="AY304" s="113" t="s">
        <v>75</v>
      </c>
    </row>
    <row r="305" spans="1:65" s="1" customFormat="1" ht="24.2" customHeight="1" x14ac:dyDescent="0.2">
      <c r="A305" s="156"/>
      <c r="B305" s="85"/>
      <c r="C305" s="86" t="s">
        <v>389</v>
      </c>
      <c r="D305" s="86" t="s">
        <v>78</v>
      </c>
      <c r="E305" s="87" t="s">
        <v>189</v>
      </c>
      <c r="F305" s="88" t="s">
        <v>190</v>
      </c>
      <c r="G305" s="89" t="s">
        <v>119</v>
      </c>
      <c r="H305" s="90">
        <v>1.6279999999999999</v>
      </c>
      <c r="I305" s="91">
        <v>155.98322812074767</v>
      </c>
      <c r="J305" s="92">
        <f>ROUND(I305*H305,2)</f>
        <v>253.94</v>
      </c>
      <c r="K305" s="88" t="s">
        <v>82</v>
      </c>
      <c r="L305" s="16"/>
      <c r="M305" s="93" t="s">
        <v>0</v>
      </c>
      <c r="N305" s="94" t="s">
        <v>27</v>
      </c>
      <c r="O305" s="27"/>
      <c r="P305" s="95">
        <f>O305*H305</f>
        <v>0</v>
      </c>
      <c r="Q305" s="95">
        <v>0</v>
      </c>
      <c r="R305" s="95">
        <f>Q305*H305</f>
        <v>0</v>
      </c>
      <c r="S305" s="95">
        <v>0</v>
      </c>
      <c r="T305" s="96">
        <f>S305*H305</f>
        <v>0</v>
      </c>
      <c r="U305" s="156"/>
      <c r="V305" s="156"/>
      <c r="W305" s="156"/>
      <c r="X305" s="156"/>
      <c r="Y305" s="156"/>
      <c r="Z305" s="156"/>
      <c r="AA305" s="156"/>
      <c r="AB305" s="156"/>
      <c r="AC305" s="156"/>
      <c r="AD305" s="156"/>
      <c r="AE305" s="156"/>
      <c r="AR305" s="97" t="s">
        <v>83</v>
      </c>
      <c r="AT305" s="97" t="s">
        <v>78</v>
      </c>
      <c r="AU305" s="97" t="s">
        <v>47</v>
      </c>
      <c r="AY305" s="10" t="s">
        <v>75</v>
      </c>
      <c r="BE305" s="98">
        <f>IF(N305="základní",J305,0)</f>
        <v>253.94</v>
      </c>
      <c r="BF305" s="98">
        <f>IF(N305="snížená",J305,0)</f>
        <v>0</v>
      </c>
      <c r="BG305" s="98">
        <f>IF(N305="zákl. přenesená",J305,0)</f>
        <v>0</v>
      </c>
      <c r="BH305" s="98">
        <f>IF(N305="sníž. přenesená",J305,0)</f>
        <v>0</v>
      </c>
      <c r="BI305" s="98">
        <f>IF(N305="nulová",J305,0)</f>
        <v>0</v>
      </c>
      <c r="BJ305" s="10" t="s">
        <v>46</v>
      </c>
      <c r="BK305" s="98">
        <f>ROUND(I305*H305,2)</f>
        <v>253.94</v>
      </c>
      <c r="BL305" s="10" t="s">
        <v>83</v>
      </c>
      <c r="BM305" s="97" t="s">
        <v>397</v>
      </c>
    </row>
    <row r="306" spans="1:65" s="1" customFormat="1" x14ac:dyDescent="0.2">
      <c r="A306" s="156"/>
      <c r="B306" s="16"/>
      <c r="C306" s="156"/>
      <c r="D306" s="99" t="s">
        <v>84</v>
      </c>
      <c r="E306" s="156"/>
      <c r="F306" s="100" t="s">
        <v>191</v>
      </c>
      <c r="G306" s="156"/>
      <c r="H306" s="156"/>
      <c r="I306" s="101"/>
      <c r="J306" s="156"/>
      <c r="K306" s="156"/>
      <c r="L306" s="16"/>
      <c r="M306" s="102"/>
      <c r="N306" s="103"/>
      <c r="O306" s="27"/>
      <c r="P306" s="27"/>
      <c r="Q306" s="27"/>
      <c r="R306" s="27"/>
      <c r="S306" s="27"/>
      <c r="T306" s="28"/>
      <c r="U306" s="156"/>
      <c r="V306" s="156"/>
      <c r="W306" s="156"/>
      <c r="X306" s="156"/>
      <c r="Y306" s="156"/>
      <c r="Z306" s="156"/>
      <c r="AA306" s="156"/>
      <c r="AB306" s="156"/>
      <c r="AC306" s="156"/>
      <c r="AD306" s="156"/>
      <c r="AE306" s="156"/>
      <c r="AT306" s="10" t="s">
        <v>84</v>
      </c>
      <c r="AU306" s="10" t="s">
        <v>47</v>
      </c>
    </row>
    <row r="307" spans="1:65" s="1" customFormat="1" ht="37.9" customHeight="1" x14ac:dyDescent="0.2">
      <c r="A307" s="156"/>
      <c r="B307" s="85"/>
      <c r="C307" s="86" t="s">
        <v>392</v>
      </c>
      <c r="D307" s="86" t="s">
        <v>78</v>
      </c>
      <c r="E307" s="87" t="s">
        <v>192</v>
      </c>
      <c r="F307" s="88" t="s">
        <v>120</v>
      </c>
      <c r="G307" s="89" t="s">
        <v>119</v>
      </c>
      <c r="H307" s="90">
        <v>1.4470000000000001</v>
      </c>
      <c r="I307" s="91">
        <v>110.6455721</v>
      </c>
      <c r="J307" s="92">
        <f>ROUND(I307*H307,2)</f>
        <v>160.1</v>
      </c>
      <c r="K307" s="88" t="s">
        <v>82</v>
      </c>
      <c r="L307" s="16"/>
      <c r="M307" s="93" t="s">
        <v>0</v>
      </c>
      <c r="N307" s="94" t="s">
        <v>27</v>
      </c>
      <c r="O307" s="27"/>
      <c r="P307" s="95">
        <f>O307*H307</f>
        <v>0</v>
      </c>
      <c r="Q307" s="95">
        <v>0</v>
      </c>
      <c r="R307" s="95">
        <f>Q307*H307</f>
        <v>0</v>
      </c>
      <c r="S307" s="95">
        <v>0</v>
      </c>
      <c r="T307" s="96">
        <f>S307*H307</f>
        <v>0</v>
      </c>
      <c r="U307" s="156"/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/>
      <c r="AR307" s="97" t="s">
        <v>83</v>
      </c>
      <c r="AT307" s="97" t="s">
        <v>78</v>
      </c>
      <c r="AU307" s="97" t="s">
        <v>47</v>
      </c>
      <c r="AY307" s="10" t="s">
        <v>75</v>
      </c>
      <c r="BE307" s="98">
        <f>IF(N307="základní",J307,0)</f>
        <v>160.1</v>
      </c>
      <c r="BF307" s="98">
        <f>IF(N307="snížená",J307,0)</f>
        <v>0</v>
      </c>
      <c r="BG307" s="98">
        <f>IF(N307="zákl. přenesená",J307,0)</f>
        <v>0</v>
      </c>
      <c r="BH307" s="98">
        <f>IF(N307="sníž. přenesená",J307,0)</f>
        <v>0</v>
      </c>
      <c r="BI307" s="98">
        <f>IF(N307="nulová",J307,0)</f>
        <v>0</v>
      </c>
      <c r="BJ307" s="10" t="s">
        <v>46</v>
      </c>
      <c r="BK307" s="98">
        <f>ROUND(I307*H307,2)</f>
        <v>160.1</v>
      </c>
      <c r="BL307" s="10" t="s">
        <v>83</v>
      </c>
      <c r="BM307" s="97" t="s">
        <v>399</v>
      </c>
    </row>
    <row r="308" spans="1:65" s="1" customFormat="1" ht="29.25" x14ac:dyDescent="0.2">
      <c r="A308" s="156"/>
      <c r="B308" s="16"/>
      <c r="C308" s="156"/>
      <c r="D308" s="99" t="s">
        <v>84</v>
      </c>
      <c r="E308" s="156"/>
      <c r="F308" s="100" t="s">
        <v>120</v>
      </c>
      <c r="G308" s="156"/>
      <c r="H308" s="156"/>
      <c r="I308" s="101"/>
      <c r="J308" s="156"/>
      <c r="K308" s="156"/>
      <c r="L308" s="16"/>
      <c r="M308" s="102"/>
      <c r="N308" s="103"/>
      <c r="O308" s="27"/>
      <c r="P308" s="27"/>
      <c r="Q308" s="27"/>
      <c r="R308" s="27"/>
      <c r="S308" s="27"/>
      <c r="T308" s="28"/>
      <c r="U308" s="156"/>
      <c r="V308" s="156"/>
      <c r="W308" s="156"/>
      <c r="X308" s="156"/>
      <c r="Y308" s="156"/>
      <c r="Z308" s="156"/>
      <c r="AA308" s="156"/>
      <c r="AB308" s="156"/>
      <c r="AC308" s="156"/>
      <c r="AD308" s="156"/>
      <c r="AE308" s="156"/>
      <c r="AT308" s="10" t="s">
        <v>84</v>
      </c>
      <c r="AU308" s="10" t="s">
        <v>47</v>
      </c>
    </row>
    <row r="309" spans="1:65" s="7" customFormat="1" x14ac:dyDescent="0.2">
      <c r="B309" s="112"/>
      <c r="D309" s="99" t="s">
        <v>87</v>
      </c>
      <c r="E309" s="113" t="s">
        <v>0</v>
      </c>
      <c r="F309" s="114" t="s">
        <v>184</v>
      </c>
      <c r="H309" s="115">
        <v>1.4470000000000001</v>
      </c>
      <c r="I309" s="116"/>
      <c r="L309" s="112"/>
      <c r="M309" s="117"/>
      <c r="N309" s="118"/>
      <c r="O309" s="118"/>
      <c r="P309" s="118"/>
      <c r="Q309" s="118"/>
      <c r="R309" s="118"/>
      <c r="S309" s="118"/>
      <c r="T309" s="119"/>
      <c r="AT309" s="113" t="s">
        <v>87</v>
      </c>
      <c r="AU309" s="113" t="s">
        <v>47</v>
      </c>
      <c r="AV309" s="7" t="s">
        <v>47</v>
      </c>
      <c r="AW309" s="7" t="s">
        <v>19</v>
      </c>
      <c r="AX309" s="7" t="s">
        <v>46</v>
      </c>
      <c r="AY309" s="113" t="s">
        <v>75</v>
      </c>
    </row>
    <row r="310" spans="1:65" s="1" customFormat="1" ht="37.9" customHeight="1" x14ac:dyDescent="0.2">
      <c r="A310" s="156"/>
      <c r="B310" s="85"/>
      <c r="C310" s="86" t="s">
        <v>394</v>
      </c>
      <c r="D310" s="86" t="s">
        <v>78</v>
      </c>
      <c r="E310" s="87" t="s">
        <v>193</v>
      </c>
      <c r="F310" s="88" t="s">
        <v>194</v>
      </c>
      <c r="G310" s="89" t="s">
        <v>119</v>
      </c>
      <c r="H310" s="90">
        <v>0.18099999999999999</v>
      </c>
      <c r="I310" s="91">
        <v>250.3439285</v>
      </c>
      <c r="J310" s="92">
        <f>ROUND(I310*H310,2)</f>
        <v>45.31</v>
      </c>
      <c r="K310" s="88" t="s">
        <v>82</v>
      </c>
      <c r="L310" s="16"/>
      <c r="M310" s="93" t="s">
        <v>0</v>
      </c>
      <c r="N310" s="94" t="s">
        <v>27</v>
      </c>
      <c r="O310" s="27"/>
      <c r="P310" s="95">
        <f>O310*H310</f>
        <v>0</v>
      </c>
      <c r="Q310" s="95">
        <v>0</v>
      </c>
      <c r="R310" s="95">
        <f>Q310*H310</f>
        <v>0</v>
      </c>
      <c r="S310" s="95">
        <v>0</v>
      </c>
      <c r="T310" s="96">
        <f>S310*H310</f>
        <v>0</v>
      </c>
      <c r="U310" s="156"/>
      <c r="V310" s="156"/>
      <c r="W310" s="156"/>
      <c r="X310" s="156"/>
      <c r="Y310" s="156"/>
      <c r="Z310" s="156"/>
      <c r="AA310" s="156"/>
      <c r="AB310" s="156"/>
      <c r="AC310" s="156"/>
      <c r="AD310" s="156"/>
      <c r="AE310" s="156"/>
      <c r="AR310" s="97" t="s">
        <v>83</v>
      </c>
      <c r="AT310" s="97" t="s">
        <v>78</v>
      </c>
      <c r="AU310" s="97" t="s">
        <v>47</v>
      </c>
      <c r="AY310" s="10" t="s">
        <v>75</v>
      </c>
      <c r="BE310" s="98">
        <f>IF(N310="základní",J310,0)</f>
        <v>45.31</v>
      </c>
      <c r="BF310" s="98">
        <f>IF(N310="snížená",J310,0)</f>
        <v>0</v>
      </c>
      <c r="BG310" s="98">
        <f>IF(N310="zákl. přenesená",J310,0)</f>
        <v>0</v>
      </c>
      <c r="BH310" s="98">
        <f>IF(N310="sníž. přenesená",J310,0)</f>
        <v>0</v>
      </c>
      <c r="BI310" s="98">
        <f>IF(N310="nulová",J310,0)</f>
        <v>0</v>
      </c>
      <c r="BJ310" s="10" t="s">
        <v>46</v>
      </c>
      <c r="BK310" s="98">
        <f>ROUND(I310*H310,2)</f>
        <v>45.31</v>
      </c>
      <c r="BL310" s="10" t="s">
        <v>83</v>
      </c>
      <c r="BM310" s="97" t="s">
        <v>401</v>
      </c>
    </row>
    <row r="311" spans="1:65" s="1" customFormat="1" ht="29.25" x14ac:dyDescent="0.2">
      <c r="A311" s="156"/>
      <c r="B311" s="16"/>
      <c r="C311" s="156"/>
      <c r="D311" s="99" t="s">
        <v>84</v>
      </c>
      <c r="E311" s="156"/>
      <c r="F311" s="100" t="s">
        <v>194</v>
      </c>
      <c r="G311" s="156"/>
      <c r="H311" s="156"/>
      <c r="I311" s="101"/>
      <c r="J311" s="156"/>
      <c r="K311" s="156"/>
      <c r="L311" s="16"/>
      <c r="M311" s="102"/>
      <c r="N311" s="103"/>
      <c r="O311" s="27"/>
      <c r="P311" s="27"/>
      <c r="Q311" s="27"/>
      <c r="R311" s="27"/>
      <c r="S311" s="27"/>
      <c r="T311" s="28"/>
      <c r="U311" s="156"/>
      <c r="V311" s="156"/>
      <c r="W311" s="156"/>
      <c r="X311" s="156"/>
      <c r="Y311" s="156"/>
      <c r="Z311" s="156"/>
      <c r="AA311" s="156"/>
      <c r="AB311" s="156"/>
      <c r="AC311" s="156"/>
      <c r="AD311" s="156"/>
      <c r="AE311" s="156"/>
      <c r="AT311" s="10" t="s">
        <v>84</v>
      </c>
      <c r="AU311" s="10" t="s">
        <v>47</v>
      </c>
    </row>
    <row r="312" spans="1:65" s="7" customFormat="1" x14ac:dyDescent="0.2">
      <c r="B312" s="112"/>
      <c r="D312" s="99" t="s">
        <v>87</v>
      </c>
      <c r="E312" s="113" t="s">
        <v>0</v>
      </c>
      <c r="F312" s="114" t="s">
        <v>185</v>
      </c>
      <c r="H312" s="115">
        <v>0.18099999999999999</v>
      </c>
      <c r="I312" s="116"/>
      <c r="L312" s="112"/>
      <c r="M312" s="117"/>
      <c r="N312" s="118"/>
      <c r="O312" s="118"/>
      <c r="P312" s="118"/>
      <c r="Q312" s="118"/>
      <c r="R312" s="118"/>
      <c r="S312" s="118"/>
      <c r="T312" s="119"/>
      <c r="AT312" s="113" t="s">
        <v>87</v>
      </c>
      <c r="AU312" s="113" t="s">
        <v>47</v>
      </c>
      <c r="AV312" s="7" t="s">
        <v>47</v>
      </c>
      <c r="AW312" s="7" t="s">
        <v>19</v>
      </c>
      <c r="AX312" s="7" t="s">
        <v>46</v>
      </c>
      <c r="AY312" s="113" t="s">
        <v>75</v>
      </c>
    </row>
    <row r="313" spans="1:65" s="5" customFormat="1" ht="22.9" customHeight="1" x14ac:dyDescent="0.2">
      <c r="B313" s="72"/>
      <c r="D313" s="73" t="s">
        <v>44</v>
      </c>
      <c r="E313" s="83" t="s">
        <v>136</v>
      </c>
      <c r="F313" s="83" t="s">
        <v>137</v>
      </c>
      <c r="I313" s="75"/>
      <c r="J313" s="84">
        <f>BK313</f>
        <v>180.96</v>
      </c>
      <c r="L313" s="72"/>
      <c r="M313" s="77"/>
      <c r="N313" s="78"/>
      <c r="O313" s="78"/>
      <c r="P313" s="79">
        <f>SUM(P314:P315)</f>
        <v>0</v>
      </c>
      <c r="Q313" s="78"/>
      <c r="R313" s="79">
        <f>SUM(R314:R315)</f>
        <v>0</v>
      </c>
      <c r="S313" s="78"/>
      <c r="T313" s="80">
        <f>SUM(T314:T315)</f>
        <v>0</v>
      </c>
      <c r="AR313" s="73" t="s">
        <v>46</v>
      </c>
      <c r="AT313" s="81" t="s">
        <v>44</v>
      </c>
      <c r="AU313" s="81" t="s">
        <v>46</v>
      </c>
      <c r="AY313" s="73" t="s">
        <v>75</v>
      </c>
      <c r="BK313" s="82">
        <f>SUM(BK314:BK315)</f>
        <v>180.96</v>
      </c>
    </row>
    <row r="314" spans="1:65" s="1" customFormat="1" ht="24.2" customHeight="1" x14ac:dyDescent="0.2">
      <c r="A314" s="156"/>
      <c r="B314" s="85"/>
      <c r="C314" s="86" t="s">
        <v>396</v>
      </c>
      <c r="D314" s="86" t="s">
        <v>78</v>
      </c>
      <c r="E314" s="87" t="s">
        <v>403</v>
      </c>
      <c r="F314" s="88" t="s">
        <v>404</v>
      </c>
      <c r="G314" s="89" t="s">
        <v>119</v>
      </c>
      <c r="H314" s="90">
        <v>0.2</v>
      </c>
      <c r="I314" s="91">
        <v>904.78117744148574</v>
      </c>
      <c r="J314" s="92">
        <f>ROUND(I314*H314,2)</f>
        <v>180.96</v>
      </c>
      <c r="K314" s="88" t="s">
        <v>82</v>
      </c>
      <c r="L314" s="16"/>
      <c r="M314" s="93" t="s">
        <v>0</v>
      </c>
      <c r="N314" s="94" t="s">
        <v>27</v>
      </c>
      <c r="O314" s="27"/>
      <c r="P314" s="95">
        <f>O314*H314</f>
        <v>0</v>
      </c>
      <c r="Q314" s="95">
        <v>0</v>
      </c>
      <c r="R314" s="95">
        <f>Q314*H314</f>
        <v>0</v>
      </c>
      <c r="S314" s="95">
        <v>0</v>
      </c>
      <c r="T314" s="96">
        <f>S314*H314</f>
        <v>0</v>
      </c>
      <c r="U314" s="156"/>
      <c r="V314" s="156"/>
      <c r="W314" s="156"/>
      <c r="X314" s="156"/>
      <c r="Y314" s="156"/>
      <c r="Z314" s="156"/>
      <c r="AA314" s="156"/>
      <c r="AB314" s="156"/>
      <c r="AC314" s="156"/>
      <c r="AD314" s="156"/>
      <c r="AE314" s="156"/>
      <c r="AR314" s="97" t="s">
        <v>83</v>
      </c>
      <c r="AT314" s="97" t="s">
        <v>78</v>
      </c>
      <c r="AU314" s="97" t="s">
        <v>47</v>
      </c>
      <c r="AY314" s="10" t="s">
        <v>75</v>
      </c>
      <c r="BE314" s="98">
        <f>IF(N314="základní",J314,0)</f>
        <v>180.96</v>
      </c>
      <c r="BF314" s="98">
        <f>IF(N314="snížená",J314,0)</f>
        <v>0</v>
      </c>
      <c r="BG314" s="98">
        <f>IF(N314="zákl. přenesená",J314,0)</f>
        <v>0</v>
      </c>
      <c r="BH314" s="98">
        <f>IF(N314="sníž. přenesená",J314,0)</f>
        <v>0</v>
      </c>
      <c r="BI314" s="98">
        <f>IF(N314="nulová",J314,0)</f>
        <v>0</v>
      </c>
      <c r="BJ314" s="10" t="s">
        <v>46</v>
      </c>
      <c r="BK314" s="98">
        <f>ROUND(I314*H314,2)</f>
        <v>180.96</v>
      </c>
      <c r="BL314" s="10" t="s">
        <v>83</v>
      </c>
      <c r="BM314" s="97" t="s">
        <v>405</v>
      </c>
    </row>
    <row r="315" spans="1:65" s="1" customFormat="1" ht="29.25" x14ac:dyDescent="0.2">
      <c r="A315" s="156"/>
      <c r="B315" s="16"/>
      <c r="C315" s="156"/>
      <c r="D315" s="99" t="s">
        <v>84</v>
      </c>
      <c r="E315" s="156"/>
      <c r="F315" s="100" t="s">
        <v>406</v>
      </c>
      <c r="G315" s="156"/>
      <c r="H315" s="156"/>
      <c r="I315" s="101"/>
      <c r="J315" s="156"/>
      <c r="K315" s="156"/>
      <c r="L315" s="16"/>
      <c r="M315" s="102"/>
      <c r="N315" s="103"/>
      <c r="O315" s="27"/>
      <c r="P315" s="27"/>
      <c r="Q315" s="27"/>
      <c r="R315" s="27"/>
      <c r="S315" s="27"/>
      <c r="T315" s="28"/>
      <c r="U315" s="156"/>
      <c r="V315" s="156"/>
      <c r="W315" s="156"/>
      <c r="X315" s="156"/>
      <c r="Y315" s="156"/>
      <c r="Z315" s="156"/>
      <c r="AA315" s="156"/>
      <c r="AB315" s="156"/>
      <c r="AC315" s="156"/>
      <c r="AD315" s="156"/>
      <c r="AE315" s="156"/>
      <c r="AT315" s="10" t="s">
        <v>84</v>
      </c>
      <c r="AU315" s="10" t="s">
        <v>47</v>
      </c>
    </row>
    <row r="316" spans="1:65" s="1" customFormat="1" ht="6.95" customHeight="1" x14ac:dyDescent="0.2">
      <c r="A316" s="156"/>
      <c r="B316" s="22"/>
      <c r="C316" s="23"/>
      <c r="D316" s="23"/>
      <c r="E316" s="23"/>
      <c r="F316" s="23"/>
      <c r="G316" s="23"/>
      <c r="H316" s="23"/>
      <c r="I316" s="23"/>
      <c r="J316" s="23"/>
      <c r="K316" s="23"/>
      <c r="L316" s="16"/>
      <c r="M316" s="156"/>
      <c r="O316" s="156"/>
      <c r="P316" s="156"/>
      <c r="Q316" s="156"/>
      <c r="R316" s="156"/>
      <c r="S316" s="156"/>
      <c r="T316" s="156"/>
      <c r="U316" s="156"/>
      <c r="V316" s="156"/>
      <c r="W316" s="156"/>
      <c r="X316" s="156"/>
      <c r="Y316" s="156"/>
      <c r="Z316" s="156"/>
      <c r="AA316" s="156"/>
      <c r="AB316" s="156"/>
      <c r="AC316" s="156"/>
      <c r="AD316" s="156"/>
      <c r="AE316" s="156"/>
    </row>
  </sheetData>
  <autoFilter ref="C130:K315"/>
  <mergeCells count="15">
    <mergeCell ref="E22:H22"/>
    <mergeCell ref="L2:V2"/>
    <mergeCell ref="E7:H7"/>
    <mergeCell ref="E9:H9"/>
    <mergeCell ref="E11:H11"/>
    <mergeCell ref="E13:H13"/>
    <mergeCell ref="E119:H119"/>
    <mergeCell ref="E121:H121"/>
    <mergeCell ref="E123:H123"/>
    <mergeCell ref="E31:H31"/>
    <mergeCell ref="E84:H84"/>
    <mergeCell ref="E86:H86"/>
    <mergeCell ref="E88:H88"/>
    <mergeCell ref="E90:H90"/>
    <mergeCell ref="E117:H117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9"/>
  <sheetViews>
    <sheetView windowProtection="1" showGridLines="0" workbookViewId="0">
      <selection activeCell="F300" sqref="F300"/>
    </sheetView>
  </sheetViews>
  <sheetFormatPr defaultRowHeight="11.25" x14ac:dyDescent="0.2"/>
  <cols>
    <col min="1" max="1" width="8.33203125" style="146" customWidth="1"/>
    <col min="2" max="2" width="1.1640625" style="146" customWidth="1"/>
    <col min="3" max="3" width="4.1640625" style="146" customWidth="1"/>
    <col min="4" max="4" width="4.33203125" style="146" customWidth="1"/>
    <col min="5" max="5" width="17.1640625" style="146" customWidth="1"/>
    <col min="6" max="6" width="50.83203125" style="146" customWidth="1"/>
    <col min="7" max="7" width="7.5" style="146" customWidth="1"/>
    <col min="8" max="8" width="11.5" style="146" customWidth="1"/>
    <col min="9" max="11" width="20.1640625" style="146" customWidth="1"/>
    <col min="12" max="12" width="9.33203125" style="146" customWidth="1"/>
    <col min="13" max="13" width="10.83203125" style="146" hidden="1" customWidth="1"/>
    <col min="14" max="14" width="9.33203125" style="146"/>
    <col min="15" max="20" width="14.1640625" style="146" hidden="1" customWidth="1"/>
    <col min="21" max="21" width="16.33203125" style="146" hidden="1" customWidth="1"/>
    <col min="22" max="22" width="12.33203125" style="146" customWidth="1"/>
    <col min="23" max="23" width="16.33203125" style="146" customWidth="1"/>
    <col min="24" max="24" width="12.33203125" style="146" customWidth="1"/>
    <col min="25" max="25" width="15" style="146" customWidth="1"/>
    <col min="26" max="26" width="11" style="146" customWidth="1"/>
    <col min="27" max="27" width="15" style="146" customWidth="1"/>
    <col min="28" max="28" width="16.33203125" style="146" customWidth="1"/>
    <col min="29" max="29" width="11" style="146" customWidth="1"/>
    <col min="30" max="30" width="15" style="146" customWidth="1"/>
    <col min="31" max="31" width="16.33203125" style="146" customWidth="1"/>
    <col min="32" max="16384" width="9.33203125" style="146"/>
  </cols>
  <sheetData>
    <row r="2" spans="1:46" ht="36.950000000000003" customHeight="1" x14ac:dyDescent="0.2">
      <c r="L2" s="204" t="s">
        <v>2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0" t="s">
        <v>197</v>
      </c>
    </row>
    <row r="3" spans="1:46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47</v>
      </c>
    </row>
    <row r="4" spans="1:46" ht="24.95" customHeight="1" x14ac:dyDescent="0.2">
      <c r="B4" s="13"/>
      <c r="D4" s="14" t="s">
        <v>49</v>
      </c>
      <c r="L4" s="13"/>
      <c r="M4" s="36" t="s">
        <v>5</v>
      </c>
      <c r="AT4" s="10" t="s">
        <v>1</v>
      </c>
    </row>
    <row r="5" spans="1:46" ht="6.95" customHeight="1" x14ac:dyDescent="0.2">
      <c r="B5" s="13"/>
      <c r="L5" s="13"/>
    </row>
    <row r="6" spans="1:46" ht="12" customHeight="1" x14ac:dyDescent="0.2">
      <c r="B6" s="13"/>
      <c r="D6" s="154" t="s">
        <v>6</v>
      </c>
      <c r="L6" s="13"/>
    </row>
    <row r="7" spans="1:46" ht="16.5" customHeight="1" x14ac:dyDescent="0.2">
      <c r="B7" s="13"/>
      <c r="E7" s="195" t="e">
        <f>#REF!</f>
        <v>#REF!</v>
      </c>
      <c r="F7" s="201"/>
      <c r="G7" s="201"/>
      <c r="H7" s="201"/>
      <c r="L7" s="13"/>
    </row>
    <row r="8" spans="1:46" ht="12.75" x14ac:dyDescent="0.2">
      <c r="B8" s="13"/>
      <c r="D8" s="154" t="s">
        <v>50</v>
      </c>
      <c r="L8" s="13"/>
    </row>
    <row r="9" spans="1:46" ht="16.5" customHeight="1" x14ac:dyDescent="0.2">
      <c r="B9" s="13"/>
      <c r="E9" s="195" t="s">
        <v>51</v>
      </c>
      <c r="F9" s="196"/>
      <c r="G9" s="196"/>
      <c r="H9" s="196"/>
      <c r="L9" s="13"/>
    </row>
    <row r="10" spans="1:46" ht="12" customHeight="1" x14ac:dyDescent="0.2">
      <c r="B10" s="13"/>
      <c r="D10" s="154" t="s">
        <v>52</v>
      </c>
      <c r="L10" s="13"/>
    </row>
    <row r="11" spans="1:46" s="1" customFormat="1" ht="16.5" customHeight="1" x14ac:dyDescent="0.2">
      <c r="A11" s="156"/>
      <c r="B11" s="16"/>
      <c r="C11" s="156"/>
      <c r="D11" s="156"/>
      <c r="E11" s="197" t="s">
        <v>201</v>
      </c>
      <c r="F11" s="198"/>
      <c r="G11" s="198"/>
      <c r="H11" s="198"/>
      <c r="I11" s="156"/>
      <c r="J11" s="156"/>
      <c r="K11" s="156"/>
      <c r="L11" s="17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</row>
    <row r="12" spans="1:46" s="1" customFormat="1" ht="12" customHeight="1" x14ac:dyDescent="0.2">
      <c r="A12" s="156"/>
      <c r="B12" s="16"/>
      <c r="C12" s="156"/>
      <c r="D12" s="154" t="s">
        <v>202</v>
      </c>
      <c r="E12" s="156"/>
      <c r="F12" s="156"/>
      <c r="G12" s="156"/>
      <c r="H12" s="156"/>
      <c r="I12" s="156"/>
      <c r="J12" s="156"/>
      <c r="K12" s="156"/>
      <c r="L12" s="17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</row>
    <row r="13" spans="1:46" s="1" customFormat="1" ht="30" customHeight="1" x14ac:dyDescent="0.2">
      <c r="A13" s="156"/>
      <c r="B13" s="16"/>
      <c r="C13" s="156"/>
      <c r="D13" s="156"/>
      <c r="E13" s="199" t="s">
        <v>491</v>
      </c>
      <c r="F13" s="198"/>
      <c r="G13" s="198"/>
      <c r="H13" s="198"/>
      <c r="I13" s="156"/>
      <c r="J13" s="156"/>
      <c r="K13" s="156"/>
      <c r="L13" s="17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</row>
    <row r="14" spans="1:46" s="1" customFormat="1" x14ac:dyDescent="0.2">
      <c r="A14" s="156"/>
      <c r="B14" s="16"/>
      <c r="C14" s="156"/>
      <c r="D14" s="156"/>
      <c r="E14" s="156"/>
      <c r="F14" s="156"/>
      <c r="G14" s="156"/>
      <c r="H14" s="156"/>
      <c r="I14" s="156"/>
      <c r="J14" s="156"/>
      <c r="K14" s="156"/>
      <c r="L14" s="17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</row>
    <row r="15" spans="1:46" s="1" customFormat="1" ht="12" customHeight="1" x14ac:dyDescent="0.2">
      <c r="A15" s="156"/>
      <c r="B15" s="16"/>
      <c r="C15" s="156"/>
      <c r="D15" s="154" t="s">
        <v>7</v>
      </c>
      <c r="E15" s="156"/>
      <c r="F15" s="147" t="s">
        <v>0</v>
      </c>
      <c r="G15" s="156"/>
      <c r="H15" s="156"/>
      <c r="I15" s="154" t="s">
        <v>8</v>
      </c>
      <c r="J15" s="147" t="s">
        <v>203</v>
      </c>
      <c r="K15" s="156"/>
      <c r="L15" s="17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</row>
    <row r="16" spans="1:46" s="1" customFormat="1" ht="12" customHeight="1" x14ac:dyDescent="0.2">
      <c r="A16" s="156"/>
      <c r="B16" s="16"/>
      <c r="C16" s="156"/>
      <c r="D16" s="154" t="s">
        <v>9</v>
      </c>
      <c r="E16" s="156"/>
      <c r="F16" s="147" t="s">
        <v>10</v>
      </c>
      <c r="G16" s="156"/>
      <c r="H16" s="156"/>
      <c r="I16" s="154" t="s">
        <v>11</v>
      </c>
      <c r="J16" s="153" t="e">
        <f>#REF!</f>
        <v>#REF!</v>
      </c>
      <c r="K16" s="156"/>
      <c r="L16" s="17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</row>
    <row r="17" spans="1:31" s="1" customFormat="1" ht="21.75" customHeight="1" x14ac:dyDescent="0.2">
      <c r="A17" s="156"/>
      <c r="B17" s="16"/>
      <c r="C17" s="156"/>
      <c r="D17" s="15" t="s">
        <v>204</v>
      </c>
      <c r="E17" s="156"/>
      <c r="F17" s="166" t="s">
        <v>205</v>
      </c>
      <c r="G17" s="156"/>
      <c r="H17" s="156"/>
      <c r="I17" s="156"/>
      <c r="J17" s="156"/>
      <c r="K17" s="156"/>
      <c r="L17" s="17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</row>
    <row r="18" spans="1:31" s="1" customFormat="1" ht="12" customHeight="1" x14ac:dyDescent="0.2">
      <c r="A18" s="156"/>
      <c r="B18" s="16"/>
      <c r="C18" s="156"/>
      <c r="D18" s="154" t="s">
        <v>12</v>
      </c>
      <c r="E18" s="156"/>
      <c r="F18" s="156"/>
      <c r="G18" s="156"/>
      <c r="H18" s="156"/>
      <c r="I18" s="154" t="s">
        <v>13</v>
      </c>
      <c r="J18" s="147" t="s">
        <v>0</v>
      </c>
      <c r="K18" s="156"/>
      <c r="L18" s="17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</row>
    <row r="19" spans="1:31" s="1" customFormat="1" ht="18" customHeight="1" x14ac:dyDescent="0.2">
      <c r="A19" s="156"/>
      <c r="B19" s="16"/>
      <c r="C19" s="156"/>
      <c r="D19" s="156"/>
      <c r="E19" s="147" t="s">
        <v>14</v>
      </c>
      <c r="F19" s="156"/>
      <c r="G19" s="156"/>
      <c r="H19" s="156"/>
      <c r="I19" s="154" t="s">
        <v>15</v>
      </c>
      <c r="J19" s="147" t="s">
        <v>0</v>
      </c>
      <c r="K19" s="156"/>
      <c r="L19" s="17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</row>
    <row r="20" spans="1:31" s="1" customFormat="1" ht="6.95" customHeight="1" x14ac:dyDescent="0.2">
      <c r="A20" s="156"/>
      <c r="B20" s="16"/>
      <c r="C20" s="156"/>
      <c r="D20" s="156"/>
      <c r="E20" s="156"/>
      <c r="F20" s="156"/>
      <c r="G20" s="156"/>
      <c r="H20" s="156"/>
      <c r="I20" s="156"/>
      <c r="J20" s="156"/>
      <c r="K20" s="156"/>
      <c r="L20" s="17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</row>
    <row r="21" spans="1:31" s="1" customFormat="1" ht="12" customHeight="1" x14ac:dyDescent="0.2">
      <c r="A21" s="156"/>
      <c r="B21" s="16"/>
      <c r="C21" s="156"/>
      <c r="D21" s="154" t="s">
        <v>16</v>
      </c>
      <c r="E21" s="156"/>
      <c r="F21" s="156"/>
      <c r="G21" s="156"/>
      <c r="H21" s="156"/>
      <c r="I21" s="154" t="s">
        <v>13</v>
      </c>
      <c r="J21" s="157" t="e">
        <f>#REF!</f>
        <v>#REF!</v>
      </c>
      <c r="K21" s="156"/>
      <c r="L21" s="17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</row>
    <row r="22" spans="1:31" s="1" customFormat="1" ht="18" customHeight="1" x14ac:dyDescent="0.2">
      <c r="A22" s="156"/>
      <c r="B22" s="16"/>
      <c r="C22" s="156"/>
      <c r="D22" s="156"/>
      <c r="E22" s="202" t="e">
        <f>#REF!</f>
        <v>#REF!</v>
      </c>
      <c r="F22" s="203"/>
      <c r="G22" s="203"/>
      <c r="H22" s="203"/>
      <c r="I22" s="154" t="s">
        <v>15</v>
      </c>
      <c r="J22" s="157" t="e">
        <f>#REF!</f>
        <v>#REF!</v>
      </c>
      <c r="K22" s="156"/>
      <c r="L22" s="17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</row>
    <row r="23" spans="1:31" s="1" customFormat="1" ht="6.95" customHeight="1" x14ac:dyDescent="0.2">
      <c r="A23" s="156"/>
      <c r="B23" s="16"/>
      <c r="C23" s="156"/>
      <c r="D23" s="156"/>
      <c r="E23" s="156"/>
      <c r="F23" s="156"/>
      <c r="G23" s="156"/>
      <c r="H23" s="156"/>
      <c r="I23" s="156"/>
      <c r="J23" s="156"/>
      <c r="K23" s="156"/>
      <c r="L23" s="17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</row>
    <row r="24" spans="1:31" s="1" customFormat="1" ht="12" customHeight="1" x14ac:dyDescent="0.2">
      <c r="A24" s="156"/>
      <c r="B24" s="16"/>
      <c r="C24" s="156"/>
      <c r="D24" s="154" t="s">
        <v>17</v>
      </c>
      <c r="E24" s="156"/>
      <c r="F24" s="156"/>
      <c r="G24" s="156"/>
      <c r="H24" s="156"/>
      <c r="I24" s="154" t="s">
        <v>13</v>
      </c>
      <c r="J24" s="147" t="s">
        <v>0</v>
      </c>
      <c r="K24" s="156"/>
      <c r="L24" s="17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</row>
    <row r="25" spans="1:31" s="1" customFormat="1" ht="18" customHeight="1" x14ac:dyDescent="0.2">
      <c r="A25" s="156"/>
      <c r="B25" s="16"/>
      <c r="C25" s="156"/>
      <c r="D25" s="156"/>
      <c r="E25" s="147" t="s">
        <v>18</v>
      </c>
      <c r="F25" s="156"/>
      <c r="G25" s="156"/>
      <c r="H25" s="156"/>
      <c r="I25" s="154" t="s">
        <v>15</v>
      </c>
      <c r="J25" s="147" t="s">
        <v>0</v>
      </c>
      <c r="K25" s="156"/>
      <c r="L25" s="17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pans="1:31" s="1" customFormat="1" ht="6.95" customHeight="1" x14ac:dyDescent="0.2">
      <c r="A26" s="156"/>
      <c r="B26" s="16"/>
      <c r="C26" s="156"/>
      <c r="D26" s="156"/>
      <c r="E26" s="156"/>
      <c r="F26" s="156"/>
      <c r="G26" s="156"/>
      <c r="H26" s="156"/>
      <c r="I26" s="156"/>
      <c r="J26" s="156"/>
      <c r="K26" s="156"/>
      <c r="L26" s="17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</row>
    <row r="27" spans="1:31" s="1" customFormat="1" ht="12" customHeight="1" x14ac:dyDescent="0.2">
      <c r="A27" s="156"/>
      <c r="B27" s="16"/>
      <c r="C27" s="156"/>
      <c r="D27" s="154" t="s">
        <v>20</v>
      </c>
      <c r="E27" s="156"/>
      <c r="F27" s="156"/>
      <c r="G27" s="156"/>
      <c r="H27" s="156"/>
      <c r="I27" s="154" t="s">
        <v>13</v>
      </c>
      <c r="J27" s="147" t="e">
        <f>IF(#REF!="","",#REF!)</f>
        <v>#REF!</v>
      </c>
      <c r="K27" s="156"/>
      <c r="L27" s="17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pans="1:31" s="1" customFormat="1" ht="18" customHeight="1" x14ac:dyDescent="0.2">
      <c r="A28" s="156"/>
      <c r="B28" s="16"/>
      <c r="C28" s="156"/>
      <c r="D28" s="156"/>
      <c r="E28" s="147" t="e">
        <f>IF(#REF!="","",#REF!)</f>
        <v>#REF!</v>
      </c>
      <c r="F28" s="156"/>
      <c r="G28" s="156"/>
      <c r="H28" s="156"/>
      <c r="I28" s="154" t="s">
        <v>15</v>
      </c>
      <c r="J28" s="147" t="e">
        <f>IF(#REF!="","",#REF!)</f>
        <v>#REF!</v>
      </c>
      <c r="K28" s="156"/>
      <c r="L28" s="17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</row>
    <row r="29" spans="1:31" s="1" customFormat="1" ht="6.95" customHeight="1" x14ac:dyDescent="0.2">
      <c r="A29" s="156"/>
      <c r="B29" s="16"/>
      <c r="C29" s="156"/>
      <c r="D29" s="156"/>
      <c r="E29" s="156"/>
      <c r="F29" s="156"/>
      <c r="G29" s="156"/>
      <c r="H29" s="156"/>
      <c r="I29" s="156"/>
      <c r="J29" s="156"/>
      <c r="K29" s="156"/>
      <c r="L29" s="17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pans="1:31" s="1" customFormat="1" ht="12" customHeight="1" x14ac:dyDescent="0.2">
      <c r="A30" s="156"/>
      <c r="B30" s="16"/>
      <c r="C30" s="156"/>
      <c r="D30" s="154" t="s">
        <v>21</v>
      </c>
      <c r="E30" s="156"/>
      <c r="F30" s="156"/>
      <c r="G30" s="156"/>
      <c r="H30" s="156"/>
      <c r="I30" s="156"/>
      <c r="J30" s="156"/>
      <c r="K30" s="156"/>
      <c r="L30" s="17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</row>
    <row r="31" spans="1:31" s="2" customFormat="1" ht="16.5" customHeight="1" x14ac:dyDescent="0.2">
      <c r="A31" s="37"/>
      <c r="B31" s="38"/>
      <c r="C31" s="37"/>
      <c r="D31" s="37"/>
      <c r="E31" s="200" t="s">
        <v>0</v>
      </c>
      <c r="F31" s="200"/>
      <c r="G31" s="200"/>
      <c r="H31" s="200"/>
      <c r="I31" s="37"/>
      <c r="J31" s="37"/>
      <c r="K31" s="37"/>
      <c r="L31" s="3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1" customFormat="1" ht="6.95" customHeight="1" x14ac:dyDescent="0.2">
      <c r="A32" s="156"/>
      <c r="B32" s="16"/>
      <c r="C32" s="156"/>
      <c r="D32" s="156"/>
      <c r="E32" s="156"/>
      <c r="F32" s="156"/>
      <c r="G32" s="156"/>
      <c r="H32" s="156"/>
      <c r="I32" s="156"/>
      <c r="J32" s="156"/>
      <c r="K32" s="156"/>
      <c r="L32" s="17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</row>
    <row r="33" spans="1:31" s="1" customFormat="1" ht="6.95" customHeight="1" x14ac:dyDescent="0.2">
      <c r="A33" s="156"/>
      <c r="B33" s="16"/>
      <c r="C33" s="156"/>
      <c r="D33" s="34"/>
      <c r="E33" s="34"/>
      <c r="F33" s="34"/>
      <c r="G33" s="34"/>
      <c r="H33" s="34"/>
      <c r="I33" s="34"/>
      <c r="J33" s="34"/>
      <c r="K33" s="34"/>
      <c r="L33" s="17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</row>
    <row r="34" spans="1:31" s="1" customFormat="1" ht="25.35" customHeight="1" x14ac:dyDescent="0.2">
      <c r="A34" s="156"/>
      <c r="B34" s="16"/>
      <c r="C34" s="156"/>
      <c r="D34" s="40" t="s">
        <v>22</v>
      </c>
      <c r="E34" s="156"/>
      <c r="F34" s="156"/>
      <c r="G34" s="156"/>
      <c r="H34" s="156"/>
      <c r="I34" s="156"/>
      <c r="J34" s="152">
        <f>ROUND(J131, 2)</f>
        <v>48082.15</v>
      </c>
      <c r="K34" s="156"/>
      <c r="L34" s="17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</row>
    <row r="35" spans="1:31" s="1" customFormat="1" ht="6.95" customHeight="1" x14ac:dyDescent="0.2">
      <c r="A35" s="156"/>
      <c r="B35" s="16"/>
      <c r="C35" s="156"/>
      <c r="D35" s="34"/>
      <c r="E35" s="34"/>
      <c r="F35" s="34"/>
      <c r="G35" s="34"/>
      <c r="H35" s="34"/>
      <c r="I35" s="34"/>
      <c r="J35" s="34"/>
      <c r="K35" s="34"/>
      <c r="L35" s="17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</row>
    <row r="36" spans="1:31" s="1" customFormat="1" ht="14.45" customHeight="1" x14ac:dyDescent="0.2">
      <c r="A36" s="156"/>
      <c r="B36" s="16"/>
      <c r="C36" s="156"/>
      <c r="D36" s="156"/>
      <c r="E36" s="156"/>
      <c r="F36" s="150" t="s">
        <v>24</v>
      </c>
      <c r="G36" s="156"/>
      <c r="H36" s="156"/>
      <c r="I36" s="150" t="s">
        <v>23</v>
      </c>
      <c r="J36" s="150" t="s">
        <v>25</v>
      </c>
      <c r="K36" s="156"/>
      <c r="L36" s="17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</row>
    <row r="37" spans="1:31" s="1" customFormat="1" ht="14.45" customHeight="1" x14ac:dyDescent="0.2">
      <c r="A37" s="156"/>
      <c r="B37" s="16"/>
      <c r="C37" s="156"/>
      <c r="D37" s="155" t="s">
        <v>26</v>
      </c>
      <c r="E37" s="154" t="s">
        <v>27</v>
      </c>
      <c r="F37" s="41">
        <f>ROUND((SUM(BE131:BE318)),  2)</f>
        <v>48082.15</v>
      </c>
      <c r="G37" s="156"/>
      <c r="H37" s="156"/>
      <c r="I37" s="42">
        <v>0.21</v>
      </c>
      <c r="J37" s="41">
        <f>ROUND(((SUM(BE131:BE318))*I37),  2)</f>
        <v>10097.25</v>
      </c>
      <c r="K37" s="156"/>
      <c r="L37" s="17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</row>
    <row r="38" spans="1:31" s="1" customFormat="1" ht="14.45" customHeight="1" x14ac:dyDescent="0.2">
      <c r="A38" s="156"/>
      <c r="B38" s="16"/>
      <c r="C38" s="156"/>
      <c r="D38" s="156"/>
      <c r="E38" s="154" t="s">
        <v>28</v>
      </c>
      <c r="F38" s="41">
        <f>ROUND((SUM(BF131:BF318)),  2)</f>
        <v>0</v>
      </c>
      <c r="G38" s="156"/>
      <c r="H38" s="156"/>
      <c r="I38" s="42">
        <v>0.15</v>
      </c>
      <c r="J38" s="41">
        <f>ROUND(((SUM(BF131:BF318))*I38),  2)</f>
        <v>0</v>
      </c>
      <c r="K38" s="156"/>
      <c r="L38" s="17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</row>
    <row r="39" spans="1:31" s="1" customFormat="1" ht="14.45" hidden="1" customHeight="1" x14ac:dyDescent="0.2">
      <c r="A39" s="156"/>
      <c r="B39" s="16"/>
      <c r="C39" s="156"/>
      <c r="D39" s="156"/>
      <c r="E39" s="154" t="s">
        <v>29</v>
      </c>
      <c r="F39" s="41">
        <f>ROUND((SUM(BG131:BG318)),  2)</f>
        <v>0</v>
      </c>
      <c r="G39" s="156"/>
      <c r="H39" s="156"/>
      <c r="I39" s="42">
        <v>0.21</v>
      </c>
      <c r="J39" s="41">
        <f>0</f>
        <v>0</v>
      </c>
      <c r="K39" s="156"/>
      <c r="L39" s="17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</row>
    <row r="40" spans="1:31" s="1" customFormat="1" ht="14.45" hidden="1" customHeight="1" x14ac:dyDescent="0.2">
      <c r="A40" s="156"/>
      <c r="B40" s="16"/>
      <c r="C40" s="156"/>
      <c r="D40" s="156"/>
      <c r="E40" s="154" t="s">
        <v>30</v>
      </c>
      <c r="F40" s="41">
        <f>ROUND((SUM(BH131:BH318)),  2)</f>
        <v>0</v>
      </c>
      <c r="G40" s="156"/>
      <c r="H40" s="156"/>
      <c r="I40" s="42">
        <v>0.15</v>
      </c>
      <c r="J40" s="41">
        <f>0</f>
        <v>0</v>
      </c>
      <c r="K40" s="156"/>
      <c r="L40" s="17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</row>
    <row r="41" spans="1:31" s="1" customFormat="1" ht="14.45" hidden="1" customHeight="1" x14ac:dyDescent="0.2">
      <c r="A41" s="156"/>
      <c r="B41" s="16"/>
      <c r="C41" s="156"/>
      <c r="D41" s="156"/>
      <c r="E41" s="154" t="s">
        <v>31</v>
      </c>
      <c r="F41" s="41">
        <f>ROUND((SUM(BI131:BI318)),  2)</f>
        <v>0</v>
      </c>
      <c r="G41" s="156"/>
      <c r="H41" s="156"/>
      <c r="I41" s="42">
        <v>0</v>
      </c>
      <c r="J41" s="41">
        <f>0</f>
        <v>0</v>
      </c>
      <c r="K41" s="156"/>
      <c r="L41" s="17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</row>
    <row r="42" spans="1:31" s="1" customFormat="1" ht="6.95" customHeight="1" x14ac:dyDescent="0.2">
      <c r="A42" s="156"/>
      <c r="B42" s="16"/>
      <c r="C42" s="156"/>
      <c r="D42" s="156"/>
      <c r="E42" s="156"/>
      <c r="F42" s="156"/>
      <c r="G42" s="156"/>
      <c r="H42" s="156"/>
      <c r="I42" s="156"/>
      <c r="J42" s="156"/>
      <c r="K42" s="156"/>
      <c r="L42" s="17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</row>
    <row r="43" spans="1:31" s="1" customFormat="1" ht="25.35" customHeight="1" x14ac:dyDescent="0.2">
      <c r="A43" s="156"/>
      <c r="B43" s="16"/>
      <c r="C43" s="43"/>
      <c r="D43" s="44" t="s">
        <v>32</v>
      </c>
      <c r="E43" s="29"/>
      <c r="F43" s="29"/>
      <c r="G43" s="45" t="s">
        <v>33</v>
      </c>
      <c r="H43" s="46" t="s">
        <v>34</v>
      </c>
      <c r="I43" s="29"/>
      <c r="J43" s="47">
        <f>SUM(J34:J41)</f>
        <v>58179.4</v>
      </c>
      <c r="K43" s="48"/>
      <c r="L43" s="17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</row>
    <row r="44" spans="1:31" s="1" customFormat="1" ht="14.45" customHeight="1" x14ac:dyDescent="0.2">
      <c r="A44" s="156"/>
      <c r="B44" s="16"/>
      <c r="C44" s="156"/>
      <c r="D44" s="156"/>
      <c r="E44" s="156"/>
      <c r="F44" s="156"/>
      <c r="G44" s="156"/>
      <c r="H44" s="156"/>
      <c r="I44" s="156"/>
      <c r="J44" s="156"/>
      <c r="K44" s="156"/>
      <c r="L44" s="17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</row>
    <row r="45" spans="1:31" ht="14.45" customHeight="1" x14ac:dyDescent="0.2">
      <c r="B45" s="13"/>
      <c r="L45" s="13"/>
    </row>
    <row r="46" spans="1:31" ht="14.45" customHeight="1" x14ac:dyDescent="0.2">
      <c r="B46" s="13"/>
      <c r="L46" s="13"/>
    </row>
    <row r="47" spans="1:31" ht="14.45" customHeight="1" x14ac:dyDescent="0.2">
      <c r="B47" s="13"/>
      <c r="L47" s="13"/>
    </row>
    <row r="48" spans="1:31" ht="14.45" customHeight="1" x14ac:dyDescent="0.2">
      <c r="B48" s="13"/>
      <c r="L48" s="13"/>
    </row>
    <row r="49" spans="1:31" s="1" customFormat="1" ht="14.45" customHeight="1" x14ac:dyDescent="0.2">
      <c r="B49" s="17"/>
      <c r="D49" s="18" t="s">
        <v>35</v>
      </c>
      <c r="E49" s="19"/>
      <c r="F49" s="19"/>
      <c r="G49" s="18" t="s">
        <v>36</v>
      </c>
      <c r="H49" s="19"/>
      <c r="I49" s="19"/>
      <c r="J49" s="19"/>
      <c r="K49" s="19"/>
      <c r="L49" s="17"/>
    </row>
    <row r="50" spans="1:31" x14ac:dyDescent="0.2">
      <c r="B50" s="13"/>
      <c r="L50" s="13"/>
    </row>
    <row r="51" spans="1:31" x14ac:dyDescent="0.2">
      <c r="B51" s="13"/>
      <c r="L51" s="13"/>
    </row>
    <row r="52" spans="1:31" x14ac:dyDescent="0.2">
      <c r="B52" s="13"/>
      <c r="L52" s="13"/>
    </row>
    <row r="53" spans="1:31" x14ac:dyDescent="0.2">
      <c r="B53" s="13"/>
      <c r="L53" s="13"/>
    </row>
    <row r="54" spans="1:31" x14ac:dyDescent="0.2">
      <c r="B54" s="13"/>
      <c r="L54" s="13"/>
    </row>
    <row r="55" spans="1:31" x14ac:dyDescent="0.2">
      <c r="B55" s="13"/>
      <c r="L55" s="13"/>
    </row>
    <row r="56" spans="1:31" x14ac:dyDescent="0.2">
      <c r="B56" s="13"/>
      <c r="L56" s="13"/>
    </row>
    <row r="57" spans="1:31" x14ac:dyDescent="0.2">
      <c r="B57" s="13"/>
      <c r="L57" s="13"/>
    </row>
    <row r="58" spans="1:31" x14ac:dyDescent="0.2">
      <c r="B58" s="13"/>
      <c r="L58" s="13"/>
    </row>
    <row r="59" spans="1:31" x14ac:dyDescent="0.2">
      <c r="B59" s="13"/>
      <c r="L59" s="13"/>
    </row>
    <row r="60" spans="1:31" s="1" customFormat="1" ht="12.75" x14ac:dyDescent="0.2">
      <c r="A60" s="156"/>
      <c r="B60" s="16"/>
      <c r="C60" s="156"/>
      <c r="D60" s="20" t="s">
        <v>37</v>
      </c>
      <c r="E60" s="149"/>
      <c r="F60" s="49" t="s">
        <v>38</v>
      </c>
      <c r="G60" s="20" t="s">
        <v>37</v>
      </c>
      <c r="H60" s="149"/>
      <c r="I60" s="149"/>
      <c r="J60" s="50" t="s">
        <v>38</v>
      </c>
      <c r="K60" s="149"/>
      <c r="L60" s="17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</row>
    <row r="61" spans="1:31" x14ac:dyDescent="0.2">
      <c r="B61" s="13"/>
      <c r="L61" s="13"/>
    </row>
    <row r="62" spans="1:31" x14ac:dyDescent="0.2">
      <c r="B62" s="13"/>
      <c r="L62" s="13"/>
    </row>
    <row r="63" spans="1:31" x14ac:dyDescent="0.2">
      <c r="B63" s="13"/>
      <c r="L63" s="13"/>
    </row>
    <row r="64" spans="1:31" s="1" customFormat="1" ht="12.75" x14ac:dyDescent="0.2">
      <c r="A64" s="156"/>
      <c r="B64" s="16"/>
      <c r="C64" s="156"/>
      <c r="D64" s="18" t="s">
        <v>39</v>
      </c>
      <c r="E64" s="21"/>
      <c r="F64" s="21"/>
      <c r="G64" s="18" t="s">
        <v>40</v>
      </c>
      <c r="H64" s="21"/>
      <c r="I64" s="21"/>
      <c r="J64" s="21"/>
      <c r="K64" s="21"/>
      <c r="L64" s="17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</row>
    <row r="65" spans="1:31" x14ac:dyDescent="0.2">
      <c r="B65" s="13"/>
      <c r="L65" s="13"/>
    </row>
    <row r="66" spans="1:31" x14ac:dyDescent="0.2">
      <c r="B66" s="13"/>
      <c r="L66" s="13"/>
    </row>
    <row r="67" spans="1:31" x14ac:dyDescent="0.2">
      <c r="B67" s="13"/>
      <c r="L67" s="13"/>
    </row>
    <row r="68" spans="1:31" x14ac:dyDescent="0.2">
      <c r="B68" s="13"/>
      <c r="L68" s="13"/>
    </row>
    <row r="69" spans="1:31" x14ac:dyDescent="0.2">
      <c r="B69" s="13"/>
      <c r="L69" s="13"/>
    </row>
    <row r="70" spans="1:31" x14ac:dyDescent="0.2">
      <c r="B70" s="13"/>
      <c r="L70" s="13"/>
    </row>
    <row r="71" spans="1:31" x14ac:dyDescent="0.2">
      <c r="B71" s="13"/>
      <c r="L71" s="13"/>
    </row>
    <row r="72" spans="1:31" x14ac:dyDescent="0.2">
      <c r="B72" s="13"/>
      <c r="L72" s="13"/>
    </row>
    <row r="73" spans="1:31" x14ac:dyDescent="0.2">
      <c r="B73" s="13"/>
      <c r="L73" s="13"/>
    </row>
    <row r="74" spans="1:31" x14ac:dyDescent="0.2">
      <c r="B74" s="13"/>
      <c r="L74" s="13"/>
    </row>
    <row r="75" spans="1:31" s="1" customFormat="1" ht="12.75" x14ac:dyDescent="0.2">
      <c r="A75" s="156"/>
      <c r="B75" s="16"/>
      <c r="C75" s="156"/>
      <c r="D75" s="20" t="s">
        <v>37</v>
      </c>
      <c r="E75" s="149"/>
      <c r="F75" s="49" t="s">
        <v>38</v>
      </c>
      <c r="G75" s="20" t="s">
        <v>37</v>
      </c>
      <c r="H75" s="149"/>
      <c r="I75" s="149"/>
      <c r="J75" s="50" t="s">
        <v>38</v>
      </c>
      <c r="K75" s="149"/>
      <c r="L75" s="17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</row>
    <row r="76" spans="1:31" s="1" customFormat="1" ht="14.45" customHeight="1" x14ac:dyDescent="0.2">
      <c r="A76" s="156"/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17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</row>
    <row r="80" spans="1:31" s="1" customFormat="1" ht="6.95" customHeight="1" x14ac:dyDescent="0.2">
      <c r="A80" s="156"/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17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</row>
    <row r="81" spans="1:31" s="1" customFormat="1" ht="24.95" customHeight="1" x14ac:dyDescent="0.2">
      <c r="A81" s="156"/>
      <c r="B81" s="16"/>
      <c r="C81" s="14" t="s">
        <v>53</v>
      </c>
      <c r="D81" s="156"/>
      <c r="E81" s="156"/>
      <c r="F81" s="156"/>
      <c r="G81" s="156"/>
      <c r="H81" s="156"/>
      <c r="I81" s="156"/>
      <c r="J81" s="156"/>
      <c r="K81" s="156"/>
      <c r="L81" s="17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</row>
    <row r="82" spans="1:31" s="1" customFormat="1" ht="6.95" customHeight="1" x14ac:dyDescent="0.2">
      <c r="A82" s="156"/>
      <c r="B82" s="16"/>
      <c r="C82" s="156"/>
      <c r="D82" s="156"/>
      <c r="E82" s="156"/>
      <c r="F82" s="156"/>
      <c r="G82" s="156"/>
      <c r="H82" s="156"/>
      <c r="I82" s="156"/>
      <c r="J82" s="156"/>
      <c r="K82" s="156"/>
      <c r="L82" s="17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</row>
    <row r="83" spans="1:31" s="1" customFormat="1" ht="12" customHeight="1" x14ac:dyDescent="0.2">
      <c r="A83" s="156"/>
      <c r="B83" s="16"/>
      <c r="C83" s="154" t="s">
        <v>6</v>
      </c>
      <c r="D83" s="156"/>
      <c r="E83" s="156"/>
      <c r="F83" s="156"/>
      <c r="G83" s="156"/>
      <c r="H83" s="156"/>
      <c r="I83" s="156"/>
      <c r="J83" s="156"/>
      <c r="K83" s="156"/>
      <c r="L83" s="17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</row>
    <row r="84" spans="1:31" s="1" customFormat="1" ht="16.5" customHeight="1" x14ac:dyDescent="0.2">
      <c r="A84" s="156"/>
      <c r="B84" s="16"/>
      <c r="C84" s="156"/>
      <c r="D84" s="156"/>
      <c r="E84" s="195" t="e">
        <f>E7</f>
        <v>#REF!</v>
      </c>
      <c r="F84" s="201"/>
      <c r="G84" s="201"/>
      <c r="H84" s="201"/>
      <c r="I84" s="156"/>
      <c r="J84" s="156"/>
      <c r="K84" s="156"/>
      <c r="L84" s="17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</row>
    <row r="85" spans="1:31" ht="12" customHeight="1" x14ac:dyDescent="0.2">
      <c r="B85" s="13"/>
      <c r="C85" s="154" t="s">
        <v>50</v>
      </c>
      <c r="L85" s="13"/>
    </row>
    <row r="86" spans="1:31" ht="16.5" customHeight="1" x14ac:dyDescent="0.2">
      <c r="B86" s="13"/>
      <c r="E86" s="195" t="s">
        <v>51</v>
      </c>
      <c r="F86" s="196"/>
      <c r="G86" s="196"/>
      <c r="H86" s="196"/>
      <c r="L86" s="13"/>
    </row>
    <row r="87" spans="1:31" ht="12" customHeight="1" x14ac:dyDescent="0.2">
      <c r="B87" s="13"/>
      <c r="C87" s="154" t="s">
        <v>52</v>
      </c>
      <c r="L87" s="13"/>
    </row>
    <row r="88" spans="1:31" s="1" customFormat="1" ht="16.5" customHeight="1" x14ac:dyDescent="0.2">
      <c r="A88" s="156"/>
      <c r="B88" s="16"/>
      <c r="C88" s="156"/>
      <c r="D88" s="156"/>
      <c r="E88" s="197" t="s">
        <v>201</v>
      </c>
      <c r="F88" s="198"/>
      <c r="G88" s="198"/>
      <c r="H88" s="198"/>
      <c r="I88" s="156"/>
      <c r="J88" s="156"/>
      <c r="K88" s="156"/>
      <c r="L88" s="17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31" s="1" customFormat="1" ht="12" customHeight="1" x14ac:dyDescent="0.2">
      <c r="A89" s="156"/>
      <c r="B89" s="16"/>
      <c r="C89" s="154" t="s">
        <v>202</v>
      </c>
      <c r="D89" s="156"/>
      <c r="E89" s="156"/>
      <c r="F89" s="156"/>
      <c r="G89" s="156"/>
      <c r="H89" s="156"/>
      <c r="I89" s="156"/>
      <c r="J89" s="156"/>
      <c r="K89" s="156"/>
      <c r="L89" s="17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31" s="1" customFormat="1" ht="32.25" customHeight="1" x14ac:dyDescent="0.2">
      <c r="A90" s="156"/>
      <c r="B90" s="16"/>
      <c r="C90" s="156"/>
      <c r="D90" s="156"/>
      <c r="E90" s="199" t="str">
        <f>E13</f>
        <v>00005 - DSO 01.1.1e Kanalizační odbočení Stoky A4-Oa42e(2,03m), Oa42f(1,95m)</v>
      </c>
      <c r="F90" s="198"/>
      <c r="G90" s="198"/>
      <c r="H90" s="198"/>
      <c r="I90" s="156"/>
      <c r="J90" s="156"/>
      <c r="K90" s="156"/>
      <c r="L90" s="17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31" s="1" customFormat="1" ht="6.95" customHeight="1" x14ac:dyDescent="0.2">
      <c r="A91" s="156"/>
      <c r="B91" s="16"/>
      <c r="C91" s="156"/>
      <c r="D91" s="156"/>
      <c r="E91" s="156"/>
      <c r="F91" s="156"/>
      <c r="G91" s="156"/>
      <c r="H91" s="156"/>
      <c r="I91" s="156"/>
      <c r="J91" s="156"/>
      <c r="K91" s="156"/>
      <c r="L91" s="17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31" s="1" customFormat="1" ht="12" customHeight="1" x14ac:dyDescent="0.2">
      <c r="A92" s="156"/>
      <c r="B92" s="16"/>
      <c r="C92" s="154" t="s">
        <v>9</v>
      </c>
      <c r="D92" s="156"/>
      <c r="E92" s="156"/>
      <c r="F92" s="147" t="str">
        <f>F16</f>
        <v xml:space="preserve"> </v>
      </c>
      <c r="G92" s="156"/>
      <c r="H92" s="156"/>
      <c r="I92" s="154" t="s">
        <v>11</v>
      </c>
      <c r="J92" s="153" t="e">
        <f>IF(J16="","",J16)</f>
        <v>#REF!</v>
      </c>
      <c r="K92" s="156"/>
      <c r="L92" s="17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31" s="1" customFormat="1" ht="6.95" customHeight="1" x14ac:dyDescent="0.2">
      <c r="A93" s="156"/>
      <c r="B93" s="16"/>
      <c r="C93" s="156"/>
      <c r="D93" s="156"/>
      <c r="E93" s="156"/>
      <c r="F93" s="156"/>
      <c r="G93" s="156"/>
      <c r="H93" s="156"/>
      <c r="I93" s="156"/>
      <c r="J93" s="156"/>
      <c r="K93" s="156"/>
      <c r="L93" s="17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31" s="1" customFormat="1" ht="40.15" customHeight="1" x14ac:dyDescent="0.2">
      <c r="A94" s="156"/>
      <c r="B94" s="16"/>
      <c r="C94" s="154" t="s">
        <v>12</v>
      </c>
      <c r="D94" s="156"/>
      <c r="E94" s="156"/>
      <c r="F94" s="147" t="str">
        <f>E19</f>
        <v>Město Petřvald</v>
      </c>
      <c r="G94" s="156"/>
      <c r="H94" s="156"/>
      <c r="I94" s="154" t="s">
        <v>17</v>
      </c>
      <c r="J94" s="148" t="str">
        <f>E25</f>
        <v>Sweco Hydroprojekt a.s., divize Morava</v>
      </c>
      <c r="K94" s="156"/>
      <c r="L94" s="17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</row>
    <row r="95" spans="1:31" s="1" customFormat="1" ht="15.2" customHeight="1" x14ac:dyDescent="0.2">
      <c r="A95" s="156"/>
      <c r="B95" s="16"/>
      <c r="C95" s="154" t="s">
        <v>16</v>
      </c>
      <c r="D95" s="156"/>
      <c r="E95" s="156"/>
      <c r="F95" s="147" t="e">
        <f>IF(E22="","",E22)</f>
        <v>#REF!</v>
      </c>
      <c r="G95" s="156"/>
      <c r="H95" s="156"/>
      <c r="I95" s="154" t="s">
        <v>20</v>
      </c>
      <c r="J95" s="148" t="e">
        <f>E28</f>
        <v>#REF!</v>
      </c>
      <c r="K95" s="156"/>
      <c r="L95" s="17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</row>
    <row r="96" spans="1:31" s="1" customFormat="1" ht="10.35" customHeight="1" x14ac:dyDescent="0.2">
      <c r="A96" s="156"/>
      <c r="B96" s="16"/>
      <c r="C96" s="156"/>
      <c r="D96" s="156"/>
      <c r="E96" s="156"/>
      <c r="F96" s="156"/>
      <c r="G96" s="156"/>
      <c r="H96" s="156"/>
      <c r="I96" s="156"/>
      <c r="J96" s="156"/>
      <c r="K96" s="156"/>
      <c r="L96" s="17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</row>
    <row r="97" spans="1:47" s="1" customFormat="1" ht="29.25" customHeight="1" x14ac:dyDescent="0.2">
      <c r="A97" s="156"/>
      <c r="B97" s="16"/>
      <c r="C97" s="51" t="s">
        <v>54</v>
      </c>
      <c r="D97" s="43"/>
      <c r="E97" s="43"/>
      <c r="F97" s="43"/>
      <c r="G97" s="43"/>
      <c r="H97" s="43"/>
      <c r="I97" s="43"/>
      <c r="J97" s="52" t="s">
        <v>55</v>
      </c>
      <c r="K97" s="43"/>
      <c r="L97" s="17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</row>
    <row r="98" spans="1:47" s="1" customFormat="1" ht="10.35" customHeight="1" x14ac:dyDescent="0.2">
      <c r="A98" s="156"/>
      <c r="B98" s="16"/>
      <c r="C98" s="156"/>
      <c r="D98" s="156"/>
      <c r="E98" s="156"/>
      <c r="F98" s="156"/>
      <c r="G98" s="156"/>
      <c r="H98" s="156"/>
      <c r="I98" s="156"/>
      <c r="J98" s="156"/>
      <c r="K98" s="156"/>
      <c r="L98" s="17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</row>
    <row r="99" spans="1:47" s="1" customFormat="1" ht="22.9" customHeight="1" x14ac:dyDescent="0.2">
      <c r="A99" s="156"/>
      <c r="B99" s="16"/>
      <c r="C99" s="53" t="s">
        <v>56</v>
      </c>
      <c r="D99" s="156"/>
      <c r="E99" s="156"/>
      <c r="F99" s="156"/>
      <c r="G99" s="156"/>
      <c r="H99" s="156"/>
      <c r="I99" s="156"/>
      <c r="J99" s="152">
        <f>J131</f>
        <v>48082.150000000009</v>
      </c>
      <c r="K99" s="156"/>
      <c r="L99" s="17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U99" s="10" t="s">
        <v>57</v>
      </c>
    </row>
    <row r="100" spans="1:47" s="3" customFormat="1" ht="24.95" customHeight="1" x14ac:dyDescent="0.2">
      <c r="B100" s="54"/>
      <c r="D100" s="55" t="s">
        <v>58</v>
      </c>
      <c r="E100" s="56"/>
      <c r="F100" s="56"/>
      <c r="G100" s="56"/>
      <c r="H100" s="56"/>
      <c r="I100" s="56"/>
      <c r="J100" s="57">
        <f>J132</f>
        <v>48082.150000000009</v>
      </c>
      <c r="L100" s="54"/>
    </row>
    <row r="101" spans="1:47" s="151" customFormat="1" ht="19.899999999999999" customHeight="1" x14ac:dyDescent="0.2">
      <c r="B101" s="58"/>
      <c r="D101" s="59" t="s">
        <v>59</v>
      </c>
      <c r="E101" s="60"/>
      <c r="F101" s="60"/>
      <c r="G101" s="60"/>
      <c r="H101" s="60"/>
      <c r="I101" s="60"/>
      <c r="J101" s="61">
        <f>J133</f>
        <v>17362.559999999998</v>
      </c>
      <c r="L101" s="58"/>
    </row>
    <row r="102" spans="1:47" s="151" customFormat="1" ht="19.899999999999999" customHeight="1" x14ac:dyDescent="0.2">
      <c r="B102" s="58"/>
      <c r="D102" s="59" t="s">
        <v>206</v>
      </c>
      <c r="E102" s="60"/>
      <c r="F102" s="60"/>
      <c r="G102" s="60"/>
      <c r="H102" s="60"/>
      <c r="I102" s="60"/>
      <c r="J102" s="61">
        <f>J229</f>
        <v>1050.99</v>
      </c>
      <c r="L102" s="58"/>
    </row>
    <row r="103" spans="1:47" s="151" customFormat="1" ht="19.899999999999999" customHeight="1" x14ac:dyDescent="0.2">
      <c r="B103" s="58"/>
      <c r="D103" s="59" t="s">
        <v>207</v>
      </c>
      <c r="E103" s="60"/>
      <c r="F103" s="60"/>
      <c r="G103" s="60"/>
      <c r="H103" s="60"/>
      <c r="I103" s="60"/>
      <c r="J103" s="61">
        <f>J234</f>
        <v>1296.71</v>
      </c>
      <c r="L103" s="58"/>
    </row>
    <row r="104" spans="1:47" s="151" customFormat="1" ht="19.899999999999999" customHeight="1" x14ac:dyDescent="0.2">
      <c r="B104" s="58"/>
      <c r="D104" s="59" t="s">
        <v>208</v>
      </c>
      <c r="E104" s="60"/>
      <c r="F104" s="60"/>
      <c r="G104" s="60"/>
      <c r="H104" s="60"/>
      <c r="I104" s="60"/>
      <c r="J104" s="61">
        <f>J249</f>
        <v>2631.7799999999997</v>
      </c>
      <c r="L104" s="58"/>
    </row>
    <row r="105" spans="1:47" s="151" customFormat="1" ht="19.899999999999999" customHeight="1" x14ac:dyDescent="0.2">
      <c r="B105" s="58"/>
      <c r="D105" s="59" t="s">
        <v>209</v>
      </c>
      <c r="E105" s="60"/>
      <c r="F105" s="60"/>
      <c r="G105" s="60"/>
      <c r="H105" s="60"/>
      <c r="I105" s="60"/>
      <c r="J105" s="61">
        <f>J261</f>
        <v>24197.29</v>
      </c>
      <c r="L105" s="58"/>
    </row>
    <row r="106" spans="1:47" s="151" customFormat="1" ht="19.899999999999999" customHeight="1" x14ac:dyDescent="0.2">
      <c r="B106" s="58"/>
      <c r="D106" s="59" t="s">
        <v>211</v>
      </c>
      <c r="E106" s="60"/>
      <c r="F106" s="60"/>
      <c r="G106" s="60"/>
      <c r="H106" s="60"/>
      <c r="I106" s="60"/>
      <c r="J106" s="61">
        <f>J296</f>
        <v>1180.9099999999999</v>
      </c>
      <c r="L106" s="58"/>
    </row>
    <row r="107" spans="1:47" s="151" customFormat="1" ht="19.899999999999999" customHeight="1" x14ac:dyDescent="0.2">
      <c r="B107" s="58"/>
      <c r="D107" s="59" t="s">
        <v>135</v>
      </c>
      <c r="E107" s="60"/>
      <c r="F107" s="60"/>
      <c r="G107" s="60"/>
      <c r="H107" s="60"/>
      <c r="I107" s="60"/>
      <c r="J107" s="61">
        <f>J316</f>
        <v>361.91</v>
      </c>
      <c r="L107" s="58"/>
    </row>
    <row r="108" spans="1:47" s="1" customFormat="1" ht="21.75" customHeight="1" x14ac:dyDescent="0.2">
      <c r="A108" s="156"/>
      <c r="B108" s="16"/>
      <c r="C108" s="156"/>
      <c r="D108" s="156"/>
      <c r="E108" s="156"/>
      <c r="F108" s="156"/>
      <c r="G108" s="156"/>
      <c r="H108" s="156"/>
      <c r="I108" s="156"/>
      <c r="J108" s="156"/>
      <c r="K108" s="156"/>
      <c r="L108" s="17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</row>
    <row r="109" spans="1:47" s="1" customFormat="1" ht="6.95" customHeight="1" x14ac:dyDescent="0.2">
      <c r="A109" s="156"/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17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</row>
    <row r="113" spans="1:31" s="1" customFormat="1" ht="6.95" customHeight="1" x14ac:dyDescent="0.2">
      <c r="A113" s="156"/>
      <c r="B113" s="24"/>
      <c r="C113" s="25"/>
      <c r="D113" s="25"/>
      <c r="E113" s="25"/>
      <c r="F113" s="25"/>
      <c r="G113" s="25"/>
      <c r="H113" s="25"/>
      <c r="I113" s="25"/>
      <c r="J113" s="25"/>
      <c r="K113" s="25"/>
      <c r="L113" s="17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</row>
    <row r="114" spans="1:31" s="1" customFormat="1" ht="24.95" customHeight="1" x14ac:dyDescent="0.2">
      <c r="A114" s="156"/>
      <c r="B114" s="16"/>
      <c r="C114" s="14" t="s">
        <v>60</v>
      </c>
      <c r="D114" s="156"/>
      <c r="E114" s="156"/>
      <c r="F114" s="156"/>
      <c r="G114" s="156"/>
      <c r="H114" s="156"/>
      <c r="I114" s="156"/>
      <c r="J114" s="156"/>
      <c r="K114" s="156"/>
      <c r="L114" s="17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</row>
    <row r="115" spans="1:31" s="1" customFormat="1" ht="6.95" customHeight="1" x14ac:dyDescent="0.2">
      <c r="A115" s="156"/>
      <c r="B115" s="16"/>
      <c r="C115" s="156"/>
      <c r="D115" s="156"/>
      <c r="E115" s="156"/>
      <c r="F115" s="156"/>
      <c r="G115" s="156"/>
      <c r="H115" s="156"/>
      <c r="I115" s="156"/>
      <c r="J115" s="156"/>
      <c r="K115" s="156"/>
      <c r="L115" s="17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31" s="1" customFormat="1" ht="12" customHeight="1" x14ac:dyDescent="0.2">
      <c r="A116" s="156"/>
      <c r="B116" s="16"/>
      <c r="C116" s="154" t="s">
        <v>6</v>
      </c>
      <c r="D116" s="156"/>
      <c r="E116" s="156"/>
      <c r="F116" s="156"/>
      <c r="G116" s="156"/>
      <c r="H116" s="156"/>
      <c r="I116" s="156"/>
      <c r="J116" s="156"/>
      <c r="K116" s="156"/>
      <c r="L116" s="17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31" s="1" customFormat="1" ht="16.5" customHeight="1" x14ac:dyDescent="0.2">
      <c r="A117" s="156"/>
      <c r="B117" s="16"/>
      <c r="C117" s="156"/>
      <c r="D117" s="156"/>
      <c r="E117" s="195" t="e">
        <f>E7</f>
        <v>#REF!</v>
      </c>
      <c r="F117" s="201"/>
      <c r="G117" s="201"/>
      <c r="H117" s="201"/>
      <c r="I117" s="156"/>
      <c r="J117" s="156"/>
      <c r="K117" s="156"/>
      <c r="L117" s="17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31" ht="12" customHeight="1" x14ac:dyDescent="0.2">
      <c r="B118" s="13"/>
      <c r="C118" s="154" t="s">
        <v>50</v>
      </c>
      <c r="L118" s="13"/>
    </row>
    <row r="119" spans="1:31" ht="16.5" customHeight="1" x14ac:dyDescent="0.2">
      <c r="B119" s="13"/>
      <c r="E119" s="195" t="s">
        <v>51</v>
      </c>
      <c r="F119" s="196"/>
      <c r="G119" s="196"/>
      <c r="H119" s="196"/>
      <c r="L119" s="13"/>
    </row>
    <row r="120" spans="1:31" ht="12" customHeight="1" x14ac:dyDescent="0.2">
      <c r="B120" s="13"/>
      <c r="C120" s="154" t="s">
        <v>52</v>
      </c>
      <c r="L120" s="13"/>
    </row>
    <row r="121" spans="1:31" s="1" customFormat="1" ht="16.5" customHeight="1" x14ac:dyDescent="0.2">
      <c r="A121" s="156"/>
      <c r="B121" s="16"/>
      <c r="C121" s="156"/>
      <c r="D121" s="156"/>
      <c r="E121" s="197" t="s">
        <v>201</v>
      </c>
      <c r="F121" s="198"/>
      <c r="G121" s="198"/>
      <c r="H121" s="198"/>
      <c r="I121" s="156"/>
      <c r="J121" s="156"/>
      <c r="K121" s="156"/>
      <c r="L121" s="17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pans="1:31" s="1" customFormat="1" ht="12" customHeight="1" x14ac:dyDescent="0.2">
      <c r="A122" s="156"/>
      <c r="B122" s="16"/>
      <c r="C122" s="154" t="s">
        <v>202</v>
      </c>
      <c r="D122" s="156"/>
      <c r="E122" s="156"/>
      <c r="F122" s="156"/>
      <c r="G122" s="156"/>
      <c r="H122" s="156"/>
      <c r="I122" s="156"/>
      <c r="J122" s="156"/>
      <c r="K122" s="156"/>
      <c r="L122" s="17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31" s="1" customFormat="1" ht="30.75" customHeight="1" x14ac:dyDescent="0.2">
      <c r="A123" s="156"/>
      <c r="B123" s="16"/>
      <c r="C123" s="156"/>
      <c r="D123" s="156"/>
      <c r="E123" s="199" t="str">
        <f>E13</f>
        <v>00005 - DSO 01.1.1e Kanalizační odbočení Stoky A4-Oa42e(2,03m), Oa42f(1,95m)</v>
      </c>
      <c r="F123" s="198"/>
      <c r="G123" s="198"/>
      <c r="H123" s="198"/>
      <c r="I123" s="156"/>
      <c r="J123" s="156"/>
      <c r="K123" s="156"/>
      <c r="L123" s="17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pans="1:31" s="1" customFormat="1" ht="6.95" customHeight="1" x14ac:dyDescent="0.2">
      <c r="A124" s="156"/>
      <c r="B124" s="16"/>
      <c r="C124" s="156"/>
      <c r="D124" s="156"/>
      <c r="E124" s="156"/>
      <c r="F124" s="156"/>
      <c r="G124" s="156"/>
      <c r="H124" s="156"/>
      <c r="I124" s="156"/>
      <c r="J124" s="156"/>
      <c r="K124" s="156"/>
      <c r="L124" s="17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pans="1:31" s="1" customFormat="1" ht="12" customHeight="1" x14ac:dyDescent="0.2">
      <c r="A125" s="156"/>
      <c r="B125" s="16"/>
      <c r="C125" s="154" t="s">
        <v>9</v>
      </c>
      <c r="D125" s="156"/>
      <c r="E125" s="156"/>
      <c r="F125" s="147" t="str">
        <f>F16</f>
        <v xml:space="preserve"> </v>
      </c>
      <c r="G125" s="156"/>
      <c r="H125" s="156"/>
      <c r="I125" s="154" t="s">
        <v>11</v>
      </c>
      <c r="J125" s="153" t="e">
        <f>IF(J16="","",J16)</f>
        <v>#REF!</v>
      </c>
      <c r="K125" s="156"/>
      <c r="L125" s="17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31" s="1" customFormat="1" ht="6.95" customHeight="1" x14ac:dyDescent="0.2">
      <c r="A126" s="156"/>
      <c r="B126" s="16"/>
      <c r="C126" s="156"/>
      <c r="D126" s="156"/>
      <c r="E126" s="156"/>
      <c r="F126" s="156"/>
      <c r="G126" s="156"/>
      <c r="H126" s="156"/>
      <c r="I126" s="156"/>
      <c r="J126" s="156"/>
      <c r="K126" s="156"/>
      <c r="L126" s="17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pans="1:31" s="1" customFormat="1" ht="40.15" customHeight="1" x14ac:dyDescent="0.2">
      <c r="A127" s="156"/>
      <c r="B127" s="16"/>
      <c r="C127" s="154" t="s">
        <v>12</v>
      </c>
      <c r="D127" s="156"/>
      <c r="E127" s="156"/>
      <c r="F127" s="147" t="str">
        <f>E19</f>
        <v>Město Petřvald</v>
      </c>
      <c r="G127" s="156"/>
      <c r="H127" s="156"/>
      <c r="I127" s="154" t="s">
        <v>17</v>
      </c>
      <c r="J127" s="148" t="str">
        <f>E25</f>
        <v>Sweco Hydroprojekt a.s., divize Morava</v>
      </c>
      <c r="K127" s="156"/>
      <c r="L127" s="17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pans="1:31" s="1" customFormat="1" ht="15.2" customHeight="1" x14ac:dyDescent="0.2">
      <c r="A128" s="156"/>
      <c r="B128" s="16"/>
      <c r="C128" s="154" t="s">
        <v>16</v>
      </c>
      <c r="D128" s="156"/>
      <c r="E128" s="156"/>
      <c r="F128" s="147" t="e">
        <f>IF(E22="","",E22)</f>
        <v>#REF!</v>
      </c>
      <c r="G128" s="156"/>
      <c r="H128" s="156"/>
      <c r="I128" s="154" t="s">
        <v>20</v>
      </c>
      <c r="J128" s="148" t="e">
        <f>E28</f>
        <v>#REF!</v>
      </c>
      <c r="K128" s="156"/>
      <c r="L128" s="17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pans="1:65" s="1" customFormat="1" ht="10.35" customHeight="1" x14ac:dyDescent="0.2">
      <c r="A129" s="156"/>
      <c r="B129" s="16"/>
      <c r="C129" s="156"/>
      <c r="D129" s="156"/>
      <c r="E129" s="156"/>
      <c r="F129" s="156"/>
      <c r="G129" s="156"/>
      <c r="H129" s="156"/>
      <c r="I129" s="156"/>
      <c r="J129" s="156"/>
      <c r="K129" s="156"/>
      <c r="L129" s="17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</row>
    <row r="130" spans="1:65" s="4" customFormat="1" ht="29.25" customHeight="1" x14ac:dyDescent="0.2">
      <c r="A130" s="62"/>
      <c r="B130" s="63"/>
      <c r="C130" s="64" t="s">
        <v>61</v>
      </c>
      <c r="D130" s="65" t="s">
        <v>43</v>
      </c>
      <c r="E130" s="65" t="s">
        <v>41</v>
      </c>
      <c r="F130" s="65" t="s">
        <v>42</v>
      </c>
      <c r="G130" s="65" t="s">
        <v>62</v>
      </c>
      <c r="H130" s="65" t="s">
        <v>63</v>
      </c>
      <c r="I130" s="65" t="s">
        <v>64</v>
      </c>
      <c r="J130" s="65" t="s">
        <v>55</v>
      </c>
      <c r="K130" s="66" t="s">
        <v>65</v>
      </c>
      <c r="L130" s="67"/>
      <c r="M130" s="30" t="s">
        <v>0</v>
      </c>
      <c r="N130" s="31" t="s">
        <v>26</v>
      </c>
      <c r="O130" s="31" t="s">
        <v>66</v>
      </c>
      <c r="P130" s="31" t="s">
        <v>67</v>
      </c>
      <c r="Q130" s="31" t="s">
        <v>68</v>
      </c>
      <c r="R130" s="31" t="s">
        <v>69</v>
      </c>
      <c r="S130" s="31" t="s">
        <v>70</v>
      </c>
      <c r="T130" s="32" t="s">
        <v>71</v>
      </c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</row>
    <row r="131" spans="1:65" s="1" customFormat="1" ht="22.9" customHeight="1" x14ac:dyDescent="0.25">
      <c r="A131" s="156"/>
      <c r="B131" s="16"/>
      <c r="C131" s="35" t="s">
        <v>72</v>
      </c>
      <c r="D131" s="156"/>
      <c r="E131" s="156"/>
      <c r="F131" s="156"/>
      <c r="G131" s="156" t="s">
        <v>212</v>
      </c>
      <c r="H131" s="156"/>
      <c r="I131" s="156"/>
      <c r="J131" s="68">
        <f>BK131</f>
        <v>48082.150000000009</v>
      </c>
      <c r="K131" s="156"/>
      <c r="L131" s="16"/>
      <c r="M131" s="33"/>
      <c r="N131" s="26"/>
      <c r="O131" s="34"/>
      <c r="P131" s="69">
        <f>P132</f>
        <v>0</v>
      </c>
      <c r="Q131" s="34"/>
      <c r="R131" s="69">
        <f>R132</f>
        <v>15.520133799999998</v>
      </c>
      <c r="S131" s="34"/>
      <c r="T131" s="70">
        <f>T132</f>
        <v>4.5061559999999989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T131" s="10" t="s">
        <v>44</v>
      </c>
      <c r="AU131" s="10" t="s">
        <v>57</v>
      </c>
      <c r="BK131" s="71">
        <f>BK132</f>
        <v>48082.150000000009</v>
      </c>
    </row>
    <row r="132" spans="1:65" s="5" customFormat="1" ht="25.9" customHeight="1" x14ac:dyDescent="0.2">
      <c r="B132" s="72"/>
      <c r="D132" s="73" t="s">
        <v>44</v>
      </c>
      <c r="E132" s="74" t="s">
        <v>73</v>
      </c>
      <c r="F132" s="74" t="s">
        <v>74</v>
      </c>
      <c r="G132" s="5" t="s">
        <v>212</v>
      </c>
      <c r="I132" s="75"/>
      <c r="J132" s="76">
        <f>BK132</f>
        <v>48082.150000000009</v>
      </c>
      <c r="L132" s="72"/>
      <c r="M132" s="77"/>
      <c r="N132" s="78"/>
      <c r="O132" s="78"/>
      <c r="P132" s="79">
        <f>P133+P229+P234+P249+P261+P296+P316</f>
        <v>0</v>
      </c>
      <c r="Q132" s="78"/>
      <c r="R132" s="79">
        <f>R133+R229+R234+R249+R261+R296+R316</f>
        <v>15.520133799999998</v>
      </c>
      <c r="S132" s="78"/>
      <c r="T132" s="80">
        <f>T133+T229+T234+T249+T261+T296+T316</f>
        <v>4.5061559999999989</v>
      </c>
      <c r="AR132" s="73" t="s">
        <v>46</v>
      </c>
      <c r="AT132" s="81" t="s">
        <v>44</v>
      </c>
      <c r="AU132" s="81" t="s">
        <v>45</v>
      </c>
      <c r="AY132" s="73" t="s">
        <v>75</v>
      </c>
      <c r="BK132" s="82">
        <f>BK133+BK229+BK234+BK249+BK261+BK296+BK316</f>
        <v>48082.150000000009</v>
      </c>
    </row>
    <row r="133" spans="1:65" s="5" customFormat="1" ht="22.9" customHeight="1" x14ac:dyDescent="0.2">
      <c r="B133" s="72"/>
      <c r="D133" s="73" t="s">
        <v>44</v>
      </c>
      <c r="E133" s="83" t="s">
        <v>46</v>
      </c>
      <c r="F133" s="83" t="s">
        <v>76</v>
      </c>
      <c r="G133" s="5" t="s">
        <v>212</v>
      </c>
      <c r="I133" s="75"/>
      <c r="J133" s="84">
        <f>BK133</f>
        <v>17362.559999999998</v>
      </c>
      <c r="L133" s="72"/>
      <c r="M133" s="77"/>
      <c r="N133" s="78"/>
      <c r="O133" s="78"/>
      <c r="P133" s="79">
        <f>SUM(P134:P228)</f>
        <v>0</v>
      </c>
      <c r="Q133" s="78"/>
      <c r="R133" s="79">
        <f>SUM(R134:R228)</f>
        <v>14.425191999999999</v>
      </c>
      <c r="S133" s="78"/>
      <c r="T133" s="80">
        <f>SUM(T134:T228)</f>
        <v>4.5061559999999989</v>
      </c>
      <c r="AR133" s="73" t="s">
        <v>46</v>
      </c>
      <c r="AT133" s="81" t="s">
        <v>44</v>
      </c>
      <c r="AU133" s="81" t="s">
        <v>46</v>
      </c>
      <c r="AY133" s="73" t="s">
        <v>75</v>
      </c>
      <c r="BK133" s="82">
        <f>SUM(BK134:BK228)</f>
        <v>17362.559999999998</v>
      </c>
    </row>
    <row r="134" spans="1:65" s="1" customFormat="1" ht="24.2" customHeight="1" x14ac:dyDescent="0.2">
      <c r="A134" s="156"/>
      <c r="B134" s="85"/>
      <c r="C134" s="86" t="s">
        <v>46</v>
      </c>
      <c r="D134" s="86" t="s">
        <v>78</v>
      </c>
      <c r="E134" s="87" t="s">
        <v>146</v>
      </c>
      <c r="F134" s="88" t="s">
        <v>147</v>
      </c>
      <c r="G134" s="89" t="s">
        <v>100</v>
      </c>
      <c r="H134" s="90">
        <v>3.5819999999999999</v>
      </c>
      <c r="I134" s="91">
        <v>68.767172335543137</v>
      </c>
      <c r="J134" s="92">
        <f>ROUND(I134*H134,2)</f>
        <v>246.32</v>
      </c>
      <c r="K134" s="88" t="s">
        <v>0</v>
      </c>
      <c r="L134" s="16"/>
      <c r="M134" s="93" t="s">
        <v>0</v>
      </c>
      <c r="N134" s="94" t="s">
        <v>27</v>
      </c>
      <c r="O134" s="27"/>
      <c r="P134" s="95">
        <f>O134*H134</f>
        <v>0</v>
      </c>
      <c r="Q134" s="95">
        <v>0</v>
      </c>
      <c r="R134" s="95">
        <f>Q134*H134</f>
        <v>0</v>
      </c>
      <c r="S134" s="95">
        <v>0.57999999999999996</v>
      </c>
      <c r="T134" s="96">
        <f>S134*H134</f>
        <v>2.0775599999999996</v>
      </c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R134" s="97" t="s">
        <v>83</v>
      </c>
      <c r="AT134" s="97" t="s">
        <v>78</v>
      </c>
      <c r="AU134" s="97" t="s">
        <v>47</v>
      </c>
      <c r="AY134" s="10" t="s">
        <v>75</v>
      </c>
      <c r="BE134" s="98">
        <f>IF(N134="základní",J134,0)</f>
        <v>246.32</v>
      </c>
      <c r="BF134" s="98">
        <f>IF(N134="snížená",J134,0)</f>
        <v>0</v>
      </c>
      <c r="BG134" s="98">
        <f>IF(N134="zákl. přenesená",J134,0)</f>
        <v>0</v>
      </c>
      <c r="BH134" s="98">
        <f>IF(N134="sníž. přenesená",J134,0)</f>
        <v>0</v>
      </c>
      <c r="BI134" s="98">
        <f>IF(N134="nulová",J134,0)</f>
        <v>0</v>
      </c>
      <c r="BJ134" s="10" t="s">
        <v>46</v>
      </c>
      <c r="BK134" s="98">
        <f>ROUND(I134*H134,2)</f>
        <v>246.32</v>
      </c>
      <c r="BL134" s="10" t="s">
        <v>83</v>
      </c>
      <c r="BM134" s="97" t="s">
        <v>213</v>
      </c>
    </row>
    <row r="135" spans="1:65" s="1" customFormat="1" ht="39" x14ac:dyDescent="0.2">
      <c r="A135" s="156"/>
      <c r="B135" s="16"/>
      <c r="C135" s="156"/>
      <c r="D135" s="99" t="s">
        <v>84</v>
      </c>
      <c r="E135" s="156"/>
      <c r="F135" s="100" t="s">
        <v>148</v>
      </c>
      <c r="G135" s="156"/>
      <c r="H135" s="156"/>
      <c r="I135" s="101"/>
      <c r="J135" s="156"/>
      <c r="K135" s="156"/>
      <c r="L135" s="16"/>
      <c r="M135" s="102"/>
      <c r="N135" s="103"/>
      <c r="O135" s="27"/>
      <c r="P135" s="27"/>
      <c r="Q135" s="27"/>
      <c r="R135" s="27"/>
      <c r="S135" s="27"/>
      <c r="T135" s="28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T135" s="10" t="s">
        <v>84</v>
      </c>
      <c r="AU135" s="10" t="s">
        <v>47</v>
      </c>
    </row>
    <row r="136" spans="1:65" s="1" customFormat="1" x14ac:dyDescent="0.2">
      <c r="A136" s="170"/>
      <c r="B136" s="16"/>
      <c r="C136" s="170"/>
      <c r="D136" s="99"/>
      <c r="E136" s="170"/>
      <c r="F136" s="100" t="s">
        <v>492</v>
      </c>
      <c r="G136" s="170"/>
      <c r="H136" s="170">
        <f>3.98-0.1*3.98</f>
        <v>3.5819999999999999</v>
      </c>
      <c r="I136" s="101"/>
      <c r="J136" s="170"/>
      <c r="K136" s="170"/>
      <c r="L136" s="16"/>
      <c r="M136" s="102"/>
      <c r="N136" s="103"/>
      <c r="O136" s="27"/>
      <c r="P136" s="27"/>
      <c r="Q136" s="27"/>
      <c r="R136" s="27"/>
      <c r="S136" s="27"/>
      <c r="T136" s="28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T136" s="10"/>
      <c r="AU136" s="10"/>
    </row>
    <row r="137" spans="1:65" s="1" customFormat="1" ht="24.2" customHeight="1" x14ac:dyDescent="0.2">
      <c r="A137" s="156"/>
      <c r="B137" s="85"/>
      <c r="C137" s="86" t="s">
        <v>47</v>
      </c>
      <c r="D137" s="86" t="s">
        <v>78</v>
      </c>
      <c r="E137" s="87" t="s">
        <v>149</v>
      </c>
      <c r="F137" s="88" t="s">
        <v>150</v>
      </c>
      <c r="G137" s="89" t="s">
        <v>100</v>
      </c>
      <c r="H137" s="90">
        <v>3.5819999999999999</v>
      </c>
      <c r="I137" s="91">
        <v>68.767172335543137</v>
      </c>
      <c r="J137" s="92">
        <f>ROUND(I137*H137,2)</f>
        <v>246.32</v>
      </c>
      <c r="K137" s="88" t="s">
        <v>82</v>
      </c>
      <c r="L137" s="16"/>
      <c r="M137" s="93" t="s">
        <v>0</v>
      </c>
      <c r="N137" s="94" t="s">
        <v>27</v>
      </c>
      <c r="O137" s="27"/>
      <c r="P137" s="95">
        <f>O137*H137</f>
        <v>0</v>
      </c>
      <c r="Q137" s="95">
        <v>0</v>
      </c>
      <c r="R137" s="95">
        <f>Q137*H137</f>
        <v>0</v>
      </c>
      <c r="S137" s="95">
        <v>0.57999999999999996</v>
      </c>
      <c r="T137" s="96">
        <f>S137*H137</f>
        <v>2.0775599999999996</v>
      </c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R137" s="97" t="s">
        <v>83</v>
      </c>
      <c r="AT137" s="97" t="s">
        <v>78</v>
      </c>
      <c r="AU137" s="97" t="s">
        <v>47</v>
      </c>
      <c r="AY137" s="10" t="s">
        <v>75</v>
      </c>
      <c r="BE137" s="98">
        <f>IF(N137="základní",J137,0)</f>
        <v>246.32</v>
      </c>
      <c r="BF137" s="98">
        <f>IF(N137="snížená",J137,0)</f>
        <v>0</v>
      </c>
      <c r="BG137" s="98">
        <f>IF(N137="zákl. přenesená",J137,0)</f>
        <v>0</v>
      </c>
      <c r="BH137" s="98">
        <f>IF(N137="sníž. přenesená",J137,0)</f>
        <v>0</v>
      </c>
      <c r="BI137" s="98">
        <f>IF(N137="nulová",J137,0)</f>
        <v>0</v>
      </c>
      <c r="BJ137" s="10" t="s">
        <v>46</v>
      </c>
      <c r="BK137" s="98">
        <f>ROUND(I137*H137,2)</f>
        <v>246.32</v>
      </c>
      <c r="BL137" s="10" t="s">
        <v>83</v>
      </c>
      <c r="BM137" s="97" t="s">
        <v>214</v>
      </c>
    </row>
    <row r="138" spans="1:65" s="1" customFormat="1" ht="39" x14ac:dyDescent="0.2">
      <c r="A138" s="156"/>
      <c r="B138" s="16"/>
      <c r="C138" s="156"/>
      <c r="D138" s="99" t="s">
        <v>84</v>
      </c>
      <c r="E138" s="156"/>
      <c r="F138" s="100" t="s">
        <v>148</v>
      </c>
      <c r="G138" s="156"/>
      <c r="H138" s="156"/>
      <c r="I138" s="101"/>
      <c r="J138" s="156"/>
      <c r="K138" s="156"/>
      <c r="L138" s="16"/>
      <c r="M138" s="102"/>
      <c r="N138" s="103"/>
      <c r="O138" s="27"/>
      <c r="P138" s="27"/>
      <c r="Q138" s="27"/>
      <c r="R138" s="27"/>
      <c r="S138" s="27"/>
      <c r="T138" s="28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T138" s="10" t="s">
        <v>84</v>
      </c>
      <c r="AU138" s="10" t="s">
        <v>47</v>
      </c>
    </row>
    <row r="139" spans="1:65" s="1" customFormat="1" ht="24.2" customHeight="1" x14ac:dyDescent="0.2">
      <c r="A139" s="156"/>
      <c r="B139" s="85"/>
      <c r="C139" s="86" t="s">
        <v>48</v>
      </c>
      <c r="D139" s="86" t="s">
        <v>78</v>
      </c>
      <c r="E139" s="87" t="s">
        <v>151</v>
      </c>
      <c r="F139" s="88" t="s">
        <v>215</v>
      </c>
      <c r="G139" s="89" t="s">
        <v>100</v>
      </c>
      <c r="H139" s="90">
        <v>3.5819999999999999</v>
      </c>
      <c r="I139" s="91">
        <v>27.886826761540966</v>
      </c>
      <c r="J139" s="92">
        <f>ROUND(I139*H139,2)</f>
        <v>99.89</v>
      </c>
      <c r="K139" s="88" t="s">
        <v>82</v>
      </c>
      <c r="L139" s="16"/>
      <c r="M139" s="93" t="s">
        <v>0</v>
      </c>
      <c r="N139" s="94" t="s">
        <v>27</v>
      </c>
      <c r="O139" s="27"/>
      <c r="P139" s="95">
        <f>O139*H139</f>
        <v>0</v>
      </c>
      <c r="Q139" s="95">
        <v>0</v>
      </c>
      <c r="R139" s="95">
        <f>Q139*H139</f>
        <v>0</v>
      </c>
      <c r="S139" s="95">
        <v>9.8000000000000004E-2</v>
      </c>
      <c r="T139" s="96">
        <f>S139*H139</f>
        <v>0.35103600000000001</v>
      </c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R139" s="97" t="s">
        <v>83</v>
      </c>
      <c r="AT139" s="97" t="s">
        <v>78</v>
      </c>
      <c r="AU139" s="97" t="s">
        <v>47</v>
      </c>
      <c r="AY139" s="10" t="s">
        <v>75</v>
      </c>
      <c r="BE139" s="98">
        <f>IF(N139="základní",J139,0)</f>
        <v>99.89</v>
      </c>
      <c r="BF139" s="98">
        <f>IF(N139="snížená",J139,0)</f>
        <v>0</v>
      </c>
      <c r="BG139" s="98">
        <f>IF(N139="zákl. přenesená",J139,0)</f>
        <v>0</v>
      </c>
      <c r="BH139" s="98">
        <f>IF(N139="sníž. přenesená",J139,0)</f>
        <v>0</v>
      </c>
      <c r="BI139" s="98">
        <f>IF(N139="nulová",J139,0)</f>
        <v>0</v>
      </c>
      <c r="BJ139" s="10" t="s">
        <v>46</v>
      </c>
      <c r="BK139" s="98">
        <f>ROUND(I139*H139,2)</f>
        <v>99.89</v>
      </c>
      <c r="BL139" s="10" t="s">
        <v>83</v>
      </c>
      <c r="BM139" s="97" t="s">
        <v>216</v>
      </c>
    </row>
    <row r="140" spans="1:65" s="1" customFormat="1" ht="29.25" x14ac:dyDescent="0.2">
      <c r="A140" s="156"/>
      <c r="B140" s="16"/>
      <c r="C140" s="156"/>
      <c r="D140" s="99" t="s">
        <v>84</v>
      </c>
      <c r="E140" s="156"/>
      <c r="F140" s="100" t="s">
        <v>152</v>
      </c>
      <c r="G140" s="156"/>
      <c r="H140" s="156"/>
      <c r="I140" s="101"/>
      <c r="J140" s="156"/>
      <c r="K140" s="156"/>
      <c r="L140" s="16"/>
      <c r="M140" s="102"/>
      <c r="N140" s="103"/>
      <c r="O140" s="27"/>
      <c r="P140" s="27"/>
      <c r="Q140" s="27"/>
      <c r="R140" s="27"/>
      <c r="S140" s="27"/>
      <c r="T140" s="28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T140" s="10" t="s">
        <v>84</v>
      </c>
      <c r="AU140" s="10" t="s">
        <v>47</v>
      </c>
    </row>
    <row r="141" spans="1:65" s="1" customFormat="1" ht="29.25" x14ac:dyDescent="0.2">
      <c r="A141" s="156"/>
      <c r="B141" s="16"/>
      <c r="C141" s="156"/>
      <c r="D141" s="99" t="s">
        <v>86</v>
      </c>
      <c r="E141" s="156"/>
      <c r="F141" s="104" t="s">
        <v>217</v>
      </c>
      <c r="G141" s="156"/>
      <c r="H141" s="156"/>
      <c r="I141" s="101"/>
      <c r="J141" s="156"/>
      <c r="K141" s="156"/>
      <c r="L141" s="16"/>
      <c r="M141" s="102"/>
      <c r="N141" s="103"/>
      <c r="O141" s="27"/>
      <c r="P141" s="27"/>
      <c r="Q141" s="27"/>
      <c r="R141" s="27"/>
      <c r="S141" s="27"/>
      <c r="T141" s="28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T141" s="10" t="s">
        <v>86</v>
      </c>
      <c r="AU141" s="10" t="s">
        <v>47</v>
      </c>
    </row>
    <row r="142" spans="1:65" s="6" customFormat="1" x14ac:dyDescent="0.2">
      <c r="B142" s="105"/>
      <c r="D142" s="99" t="s">
        <v>87</v>
      </c>
      <c r="E142" s="106" t="s">
        <v>0</v>
      </c>
      <c r="F142" s="107" t="s">
        <v>407</v>
      </c>
      <c r="H142" s="106" t="s">
        <v>0</v>
      </c>
      <c r="I142" s="108"/>
      <c r="L142" s="105"/>
      <c r="M142" s="109"/>
      <c r="N142" s="110"/>
      <c r="O142" s="110"/>
      <c r="P142" s="110"/>
      <c r="Q142" s="110"/>
      <c r="R142" s="110"/>
      <c r="S142" s="110"/>
      <c r="T142" s="111"/>
      <c r="AT142" s="106" t="s">
        <v>87</v>
      </c>
      <c r="AU142" s="106" t="s">
        <v>47</v>
      </c>
      <c r="AV142" s="6" t="s">
        <v>46</v>
      </c>
      <c r="AW142" s="6" t="s">
        <v>19</v>
      </c>
      <c r="AX142" s="6" t="s">
        <v>45</v>
      </c>
      <c r="AY142" s="106" t="s">
        <v>75</v>
      </c>
    </row>
    <row r="143" spans="1:65" s="6" customFormat="1" x14ac:dyDescent="0.2">
      <c r="B143" s="105"/>
      <c r="D143" s="99" t="s">
        <v>87</v>
      </c>
      <c r="E143" s="106" t="s">
        <v>0</v>
      </c>
      <c r="F143" s="107" t="s">
        <v>153</v>
      </c>
      <c r="H143" s="106" t="s">
        <v>0</v>
      </c>
      <c r="I143" s="108"/>
      <c r="L143" s="105"/>
      <c r="M143" s="109"/>
      <c r="N143" s="110"/>
      <c r="O143" s="110"/>
      <c r="P143" s="110"/>
      <c r="Q143" s="110"/>
      <c r="R143" s="110"/>
      <c r="S143" s="110"/>
      <c r="T143" s="111"/>
      <c r="AT143" s="106" t="s">
        <v>87</v>
      </c>
      <c r="AU143" s="106" t="s">
        <v>47</v>
      </c>
      <c r="AV143" s="6" t="s">
        <v>46</v>
      </c>
      <c r="AW143" s="6" t="s">
        <v>19</v>
      </c>
      <c r="AX143" s="6" t="s">
        <v>45</v>
      </c>
      <c r="AY143" s="106" t="s">
        <v>75</v>
      </c>
    </row>
    <row r="144" spans="1:65" s="1" customFormat="1" ht="24.2" customHeight="1" x14ac:dyDescent="0.2">
      <c r="A144" s="156"/>
      <c r="B144" s="85"/>
      <c r="C144" s="86" t="s">
        <v>83</v>
      </c>
      <c r="D144" s="86" t="s">
        <v>78</v>
      </c>
      <c r="E144" s="87" t="s">
        <v>218</v>
      </c>
      <c r="F144" s="88" t="s">
        <v>219</v>
      </c>
      <c r="G144" s="89" t="s">
        <v>100</v>
      </c>
      <c r="H144" s="90">
        <v>0.39800000000000002</v>
      </c>
      <c r="I144" s="91">
        <v>23.091823190584471</v>
      </c>
      <c r="J144" s="92">
        <f>ROUND(I144*H144,2)</f>
        <v>9.19</v>
      </c>
      <c r="K144" s="88" t="s">
        <v>82</v>
      </c>
      <c r="L144" s="16"/>
      <c r="M144" s="93" t="s">
        <v>0</v>
      </c>
      <c r="N144" s="94" t="s">
        <v>27</v>
      </c>
      <c r="O144" s="27"/>
      <c r="P144" s="95">
        <f>O144*H144</f>
        <v>0</v>
      </c>
      <c r="Q144" s="95">
        <v>0</v>
      </c>
      <c r="R144" s="95">
        <f>Q144*H144</f>
        <v>0</v>
      </c>
      <c r="S144" s="95">
        <v>0</v>
      </c>
      <c r="T144" s="96">
        <f>S144*H144</f>
        <v>0</v>
      </c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R144" s="97" t="s">
        <v>83</v>
      </c>
      <c r="AT144" s="97" t="s">
        <v>78</v>
      </c>
      <c r="AU144" s="97" t="s">
        <v>47</v>
      </c>
      <c r="AY144" s="10" t="s">
        <v>75</v>
      </c>
      <c r="BE144" s="98">
        <f>IF(N144="základní",J144,0)</f>
        <v>9.19</v>
      </c>
      <c r="BF144" s="98">
        <f>IF(N144="snížená",J144,0)</f>
        <v>0</v>
      </c>
      <c r="BG144" s="98">
        <f>IF(N144="zákl. přenesená",J144,0)</f>
        <v>0</v>
      </c>
      <c r="BH144" s="98">
        <f>IF(N144="sníž. přenesená",J144,0)</f>
        <v>0</v>
      </c>
      <c r="BI144" s="98">
        <f>IF(N144="nulová",J144,0)</f>
        <v>0</v>
      </c>
      <c r="BJ144" s="10" t="s">
        <v>46</v>
      </c>
      <c r="BK144" s="98">
        <f>ROUND(I144*H144,2)</f>
        <v>9.19</v>
      </c>
      <c r="BL144" s="10" t="s">
        <v>83</v>
      </c>
      <c r="BM144" s="97" t="s">
        <v>220</v>
      </c>
    </row>
    <row r="145" spans="1:65" s="1" customFormat="1" ht="19.5" x14ac:dyDescent="0.2">
      <c r="A145" s="156"/>
      <c r="B145" s="16"/>
      <c r="C145" s="156"/>
      <c r="D145" s="99" t="s">
        <v>84</v>
      </c>
      <c r="E145" s="156"/>
      <c r="F145" s="100" t="s">
        <v>221</v>
      </c>
      <c r="G145" s="156"/>
      <c r="H145" s="156"/>
      <c r="I145" s="101"/>
      <c r="J145" s="156"/>
      <c r="K145" s="156"/>
      <c r="L145" s="16"/>
      <c r="M145" s="102"/>
      <c r="N145" s="103"/>
      <c r="O145" s="27"/>
      <c r="P145" s="27"/>
      <c r="Q145" s="27"/>
      <c r="R145" s="27"/>
      <c r="S145" s="27"/>
      <c r="T145" s="28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T145" s="10" t="s">
        <v>84</v>
      </c>
      <c r="AU145" s="10" t="s">
        <v>47</v>
      </c>
    </row>
    <row r="146" spans="1:65" s="1" customFormat="1" ht="29.25" x14ac:dyDescent="0.2">
      <c r="A146" s="156"/>
      <c r="B146" s="16"/>
      <c r="C146" s="156"/>
      <c r="D146" s="99" t="s">
        <v>86</v>
      </c>
      <c r="E146" s="156"/>
      <c r="F146" s="104" t="s">
        <v>217</v>
      </c>
      <c r="G146" s="156"/>
      <c r="H146" s="156"/>
      <c r="I146" s="101"/>
      <c r="J146" s="156"/>
      <c r="K146" s="156"/>
      <c r="L146" s="16"/>
      <c r="M146" s="102"/>
      <c r="N146" s="103"/>
      <c r="O146" s="27"/>
      <c r="P146" s="27"/>
      <c r="Q146" s="27"/>
      <c r="R146" s="27"/>
      <c r="S146" s="27"/>
      <c r="T146" s="28"/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T146" s="10" t="s">
        <v>86</v>
      </c>
      <c r="AU146" s="10" t="s">
        <v>47</v>
      </c>
    </row>
    <row r="147" spans="1:65" s="6" customFormat="1" x14ac:dyDescent="0.2">
      <c r="B147" s="105"/>
      <c r="D147" s="99" t="s">
        <v>87</v>
      </c>
      <c r="E147" s="106" t="s">
        <v>0</v>
      </c>
      <c r="F147" s="107" t="s">
        <v>222</v>
      </c>
      <c r="H147" s="106" t="s">
        <v>0</v>
      </c>
      <c r="I147" s="108"/>
      <c r="L147" s="105"/>
      <c r="M147" s="109"/>
      <c r="N147" s="110"/>
      <c r="O147" s="110"/>
      <c r="P147" s="110"/>
      <c r="Q147" s="110"/>
      <c r="R147" s="110"/>
      <c r="S147" s="110"/>
      <c r="T147" s="111"/>
      <c r="AT147" s="106" t="s">
        <v>87</v>
      </c>
      <c r="AU147" s="106" t="s">
        <v>47</v>
      </c>
      <c r="AV147" s="6" t="s">
        <v>46</v>
      </c>
      <c r="AW147" s="6" t="s">
        <v>19</v>
      </c>
      <c r="AX147" s="6" t="s">
        <v>45</v>
      </c>
      <c r="AY147" s="106" t="s">
        <v>75</v>
      </c>
    </row>
    <row r="148" spans="1:65" s="7" customFormat="1" x14ac:dyDescent="0.2">
      <c r="B148" s="112"/>
      <c r="D148" s="99" t="s">
        <v>87</v>
      </c>
      <c r="E148" s="113" t="s">
        <v>0</v>
      </c>
      <c r="F148" s="114" t="s">
        <v>493</v>
      </c>
      <c r="H148" s="115">
        <f>3.98*0.1</f>
        <v>0.39800000000000002</v>
      </c>
      <c r="I148" s="116"/>
      <c r="L148" s="112"/>
      <c r="M148" s="117"/>
      <c r="N148" s="118"/>
      <c r="O148" s="118"/>
      <c r="P148" s="118"/>
      <c r="Q148" s="118"/>
      <c r="R148" s="118"/>
      <c r="S148" s="118"/>
      <c r="T148" s="119"/>
      <c r="AT148" s="113" t="s">
        <v>87</v>
      </c>
      <c r="AU148" s="113" t="s">
        <v>47</v>
      </c>
      <c r="AV148" s="7" t="s">
        <v>47</v>
      </c>
      <c r="AW148" s="7" t="s">
        <v>19</v>
      </c>
      <c r="AX148" s="7" t="s">
        <v>46</v>
      </c>
      <c r="AY148" s="113" t="s">
        <v>75</v>
      </c>
    </row>
    <row r="149" spans="1:65" s="1" customFormat="1" ht="24.2" customHeight="1" x14ac:dyDescent="0.2">
      <c r="A149" s="156"/>
      <c r="B149" s="85"/>
      <c r="C149" s="86" t="s">
        <v>223</v>
      </c>
      <c r="D149" s="86" t="s">
        <v>78</v>
      </c>
      <c r="E149" s="87" t="s">
        <v>79</v>
      </c>
      <c r="F149" s="88" t="s">
        <v>80</v>
      </c>
      <c r="G149" s="89" t="s">
        <v>81</v>
      </c>
      <c r="H149" s="90">
        <v>3.2080000000000002</v>
      </c>
      <c r="I149" s="91">
        <v>285.201942457955</v>
      </c>
      <c r="J149" s="92">
        <f>ROUND(I149*H149,2)</f>
        <v>914.93</v>
      </c>
      <c r="K149" s="88" t="s">
        <v>82</v>
      </c>
      <c r="L149" s="16"/>
      <c r="M149" s="93" t="s">
        <v>0</v>
      </c>
      <c r="N149" s="94" t="s">
        <v>27</v>
      </c>
      <c r="O149" s="27"/>
      <c r="P149" s="95">
        <f>O149*H149</f>
        <v>0</v>
      </c>
      <c r="Q149" s="95">
        <v>0</v>
      </c>
      <c r="R149" s="95">
        <f>Q149*H149</f>
        <v>0</v>
      </c>
      <c r="S149" s="95">
        <v>0</v>
      </c>
      <c r="T149" s="96">
        <f>S149*H149</f>
        <v>0</v>
      </c>
      <c r="U149" s="156"/>
      <c r="V149" s="156"/>
      <c r="W149" s="156"/>
      <c r="X149" s="156"/>
      <c r="Y149" s="156"/>
      <c r="Z149" s="156"/>
      <c r="AA149" s="156"/>
      <c r="AB149" s="156"/>
      <c r="AC149" s="156"/>
      <c r="AD149" s="156"/>
      <c r="AE149" s="156"/>
      <c r="AR149" s="97" t="s">
        <v>83</v>
      </c>
      <c r="AT149" s="97" t="s">
        <v>78</v>
      </c>
      <c r="AU149" s="97" t="s">
        <v>47</v>
      </c>
      <c r="AY149" s="10" t="s">
        <v>75</v>
      </c>
      <c r="BE149" s="98">
        <f>IF(N149="základní",J149,0)</f>
        <v>914.93</v>
      </c>
      <c r="BF149" s="98">
        <f>IF(N149="snížená",J149,0)</f>
        <v>0</v>
      </c>
      <c r="BG149" s="98">
        <f>IF(N149="zákl. přenesená",J149,0)</f>
        <v>0</v>
      </c>
      <c r="BH149" s="98">
        <f>IF(N149="sníž. přenesená",J149,0)</f>
        <v>0</v>
      </c>
      <c r="BI149" s="98">
        <f>IF(N149="nulová",J149,0)</f>
        <v>0</v>
      </c>
      <c r="BJ149" s="10" t="s">
        <v>46</v>
      </c>
      <c r="BK149" s="98">
        <f>ROUND(I149*H149,2)</f>
        <v>914.93</v>
      </c>
      <c r="BL149" s="10" t="s">
        <v>83</v>
      </c>
      <c r="BM149" s="97" t="s">
        <v>224</v>
      </c>
    </row>
    <row r="150" spans="1:65" s="1" customFormat="1" ht="39" x14ac:dyDescent="0.2">
      <c r="A150" s="156"/>
      <c r="B150" s="16"/>
      <c r="C150" s="156"/>
      <c r="D150" s="99" t="s">
        <v>84</v>
      </c>
      <c r="E150" s="156"/>
      <c r="F150" s="100" t="s">
        <v>85</v>
      </c>
      <c r="G150" s="156"/>
      <c r="H150" s="156"/>
      <c r="I150" s="101"/>
      <c r="J150" s="156"/>
      <c r="K150" s="156"/>
      <c r="L150" s="16"/>
      <c r="M150" s="102"/>
      <c r="N150" s="103"/>
      <c r="O150" s="27"/>
      <c r="P150" s="27"/>
      <c r="Q150" s="27"/>
      <c r="R150" s="27"/>
      <c r="S150" s="27"/>
      <c r="T150" s="28"/>
      <c r="U150" s="156"/>
      <c r="V150" s="156"/>
      <c r="W150" s="156"/>
      <c r="X150" s="156"/>
      <c r="Y150" s="156"/>
      <c r="Z150" s="156"/>
      <c r="AA150" s="156"/>
      <c r="AB150" s="156"/>
      <c r="AC150" s="156"/>
      <c r="AD150" s="156"/>
      <c r="AE150" s="156"/>
      <c r="AT150" s="10" t="s">
        <v>84</v>
      </c>
      <c r="AU150" s="10" t="s">
        <v>47</v>
      </c>
    </row>
    <row r="151" spans="1:65" s="1" customFormat="1" ht="39" x14ac:dyDescent="0.2">
      <c r="A151" s="156"/>
      <c r="B151" s="16"/>
      <c r="C151" s="156"/>
      <c r="D151" s="99" t="s">
        <v>86</v>
      </c>
      <c r="E151" s="156"/>
      <c r="F151" s="104" t="s">
        <v>225</v>
      </c>
      <c r="G151" s="156"/>
      <c r="H151" s="156"/>
      <c r="I151" s="101"/>
      <c r="J151" s="156"/>
      <c r="K151" s="156"/>
      <c r="L151" s="16"/>
      <c r="M151" s="102"/>
      <c r="N151" s="103"/>
      <c r="O151" s="27"/>
      <c r="P151" s="27"/>
      <c r="Q151" s="27"/>
      <c r="R151" s="27"/>
      <c r="S151" s="27"/>
      <c r="T151" s="28"/>
      <c r="U151" s="156"/>
      <c r="V151" s="156"/>
      <c r="W151" s="156"/>
      <c r="X151" s="156"/>
      <c r="Y151" s="156"/>
      <c r="Z151" s="156"/>
      <c r="AA151" s="156"/>
      <c r="AB151" s="156"/>
      <c r="AC151" s="156"/>
      <c r="AD151" s="156"/>
      <c r="AE151" s="156"/>
      <c r="AT151" s="10" t="s">
        <v>86</v>
      </c>
      <c r="AU151" s="10" t="s">
        <v>47</v>
      </c>
    </row>
    <row r="152" spans="1:65" s="6" customFormat="1" ht="22.5" x14ac:dyDescent="0.2">
      <c r="B152" s="105"/>
      <c r="D152" s="99" t="s">
        <v>87</v>
      </c>
      <c r="E152" s="106" t="s">
        <v>0</v>
      </c>
      <c r="F152" s="107" t="s">
        <v>226</v>
      </c>
      <c r="H152" s="106" t="s">
        <v>0</v>
      </c>
      <c r="I152" s="108"/>
      <c r="L152" s="105"/>
      <c r="M152" s="109"/>
      <c r="N152" s="110"/>
      <c r="O152" s="110"/>
      <c r="P152" s="110"/>
      <c r="Q152" s="110"/>
      <c r="R152" s="110"/>
      <c r="S152" s="110"/>
      <c r="T152" s="111"/>
      <c r="AT152" s="106" t="s">
        <v>87</v>
      </c>
      <c r="AU152" s="106" t="s">
        <v>47</v>
      </c>
      <c r="AV152" s="6" t="s">
        <v>46</v>
      </c>
      <c r="AW152" s="6" t="s">
        <v>19</v>
      </c>
      <c r="AX152" s="6" t="s">
        <v>45</v>
      </c>
      <c r="AY152" s="106" t="s">
        <v>75</v>
      </c>
    </row>
    <row r="153" spans="1:65" s="7" customFormat="1" x14ac:dyDescent="0.2">
      <c r="B153" s="112"/>
      <c r="D153" s="99" t="s">
        <v>87</v>
      </c>
      <c r="E153" s="113" t="s">
        <v>0</v>
      </c>
      <c r="F153" s="114" t="s">
        <v>494</v>
      </c>
      <c r="H153" s="115">
        <f>3.98*(2.2-0.45)-0.9</f>
        <v>6.0650000000000004</v>
      </c>
      <c r="I153" s="116"/>
      <c r="L153" s="112"/>
      <c r="M153" s="117"/>
      <c r="N153" s="118"/>
      <c r="O153" s="118"/>
      <c r="P153" s="118"/>
      <c r="Q153" s="118"/>
      <c r="R153" s="118"/>
      <c r="S153" s="118"/>
      <c r="T153" s="119"/>
      <c r="AT153" s="113" t="s">
        <v>87</v>
      </c>
      <c r="AU153" s="113" t="s">
        <v>47</v>
      </c>
      <c r="AV153" s="7" t="s">
        <v>47</v>
      </c>
      <c r="AW153" s="7" t="s">
        <v>19</v>
      </c>
      <c r="AX153" s="7" t="s">
        <v>45</v>
      </c>
      <c r="AY153" s="113" t="s">
        <v>75</v>
      </c>
    </row>
    <row r="154" spans="1:65" s="6" customFormat="1" x14ac:dyDescent="0.2">
      <c r="B154" s="105"/>
      <c r="D154" s="99" t="s">
        <v>87</v>
      </c>
      <c r="E154" s="106" t="s">
        <v>0</v>
      </c>
      <c r="F154" s="107" t="s">
        <v>408</v>
      </c>
      <c r="H154" s="106" t="s">
        <v>0</v>
      </c>
      <c r="I154" s="108"/>
      <c r="L154" s="105"/>
      <c r="M154" s="109"/>
      <c r="N154" s="110"/>
      <c r="O154" s="110"/>
      <c r="P154" s="110"/>
      <c r="Q154" s="110"/>
      <c r="R154" s="110"/>
      <c r="S154" s="110"/>
      <c r="T154" s="111"/>
      <c r="AT154" s="106" t="s">
        <v>87</v>
      </c>
      <c r="AU154" s="106" t="s">
        <v>47</v>
      </c>
      <c r="AV154" s="6" t="s">
        <v>46</v>
      </c>
      <c r="AW154" s="6" t="s">
        <v>19</v>
      </c>
      <c r="AX154" s="6" t="s">
        <v>45</v>
      </c>
      <c r="AY154" s="106" t="s">
        <v>75</v>
      </c>
    </row>
    <row r="155" spans="1:65" s="7" customFormat="1" x14ac:dyDescent="0.2">
      <c r="B155" s="112"/>
      <c r="D155" s="99" t="s">
        <v>87</v>
      </c>
      <c r="E155" s="113" t="s">
        <v>0</v>
      </c>
      <c r="F155" s="114" t="s">
        <v>495</v>
      </c>
      <c r="H155" s="115">
        <f>2*(2.2-0.45)*0.1</f>
        <v>0.35000000000000009</v>
      </c>
      <c r="I155" s="116"/>
      <c r="L155" s="112"/>
      <c r="M155" s="117"/>
      <c r="N155" s="118"/>
      <c r="O155" s="118"/>
      <c r="P155" s="118"/>
      <c r="Q155" s="118"/>
      <c r="R155" s="118"/>
      <c r="S155" s="118"/>
      <c r="T155" s="119"/>
      <c r="AT155" s="113" t="s">
        <v>87</v>
      </c>
      <c r="AU155" s="113" t="s">
        <v>47</v>
      </c>
      <c r="AV155" s="7" t="s">
        <v>47</v>
      </c>
      <c r="AW155" s="7" t="s">
        <v>19</v>
      </c>
      <c r="AX155" s="7" t="s">
        <v>45</v>
      </c>
      <c r="AY155" s="113" t="s">
        <v>75</v>
      </c>
    </row>
    <row r="156" spans="1:65" s="8" customFormat="1" x14ac:dyDescent="0.2">
      <c r="B156" s="120"/>
      <c r="D156" s="99" t="s">
        <v>87</v>
      </c>
      <c r="E156" s="121" t="s">
        <v>0</v>
      </c>
      <c r="F156" s="122" t="s">
        <v>88</v>
      </c>
      <c r="H156" s="123">
        <f>H153+H155</f>
        <v>6.4150000000000009</v>
      </c>
      <c r="I156" s="124"/>
      <c r="L156" s="120"/>
      <c r="M156" s="125"/>
      <c r="N156" s="126"/>
      <c r="O156" s="126"/>
      <c r="P156" s="126"/>
      <c r="Q156" s="126"/>
      <c r="R156" s="126"/>
      <c r="S156" s="126"/>
      <c r="T156" s="127"/>
      <c r="AT156" s="121" t="s">
        <v>87</v>
      </c>
      <c r="AU156" s="121" t="s">
        <v>47</v>
      </c>
      <c r="AV156" s="8" t="s">
        <v>48</v>
      </c>
      <c r="AW156" s="8" t="s">
        <v>19</v>
      </c>
      <c r="AX156" s="8" t="s">
        <v>45</v>
      </c>
      <c r="AY156" s="121" t="s">
        <v>75</v>
      </c>
    </row>
    <row r="157" spans="1:65" s="7" customFormat="1" x14ac:dyDescent="0.2">
      <c r="B157" s="112"/>
      <c r="D157" s="99" t="s">
        <v>87</v>
      </c>
      <c r="E157" s="113" t="s">
        <v>0</v>
      </c>
      <c r="F157" s="114" t="s">
        <v>496</v>
      </c>
      <c r="H157" s="115">
        <f>H156*0.5</f>
        <v>3.2075000000000005</v>
      </c>
      <c r="I157" s="116"/>
      <c r="L157" s="112"/>
      <c r="M157" s="117"/>
      <c r="N157" s="118"/>
      <c r="O157" s="118"/>
      <c r="P157" s="118"/>
      <c r="Q157" s="118"/>
      <c r="R157" s="118"/>
      <c r="S157" s="118"/>
      <c r="T157" s="119"/>
      <c r="AT157" s="113" t="s">
        <v>87</v>
      </c>
      <c r="AU157" s="113" t="s">
        <v>47</v>
      </c>
      <c r="AV157" s="7" t="s">
        <v>47</v>
      </c>
      <c r="AW157" s="7" t="s">
        <v>19</v>
      </c>
      <c r="AX157" s="7" t="s">
        <v>46</v>
      </c>
      <c r="AY157" s="113" t="s">
        <v>75</v>
      </c>
    </row>
    <row r="158" spans="1:65" s="1" customFormat="1" ht="24.2" customHeight="1" x14ac:dyDescent="0.2">
      <c r="A158" s="156"/>
      <c r="B158" s="85"/>
      <c r="C158" s="86" t="s">
        <v>228</v>
      </c>
      <c r="D158" s="86" t="s">
        <v>78</v>
      </c>
      <c r="E158" s="87" t="s">
        <v>90</v>
      </c>
      <c r="F158" s="88" t="s">
        <v>91</v>
      </c>
      <c r="G158" s="89" t="s">
        <v>81</v>
      </c>
      <c r="H158" s="90">
        <v>3.2080000000000002</v>
      </c>
      <c r="I158" s="91">
        <v>390.55963566140201</v>
      </c>
      <c r="J158" s="92">
        <f>ROUND(I158*H158,2)</f>
        <v>1252.92</v>
      </c>
      <c r="K158" s="88" t="s">
        <v>82</v>
      </c>
      <c r="L158" s="16"/>
      <c r="M158" s="93" t="s">
        <v>0</v>
      </c>
      <c r="N158" s="94" t="s">
        <v>27</v>
      </c>
      <c r="O158" s="27"/>
      <c r="P158" s="95">
        <f>O158*H158</f>
        <v>0</v>
      </c>
      <c r="Q158" s="95">
        <v>0</v>
      </c>
      <c r="R158" s="95">
        <f>Q158*H158</f>
        <v>0</v>
      </c>
      <c r="S158" s="95">
        <v>0</v>
      </c>
      <c r="T158" s="96">
        <f>S158*H158</f>
        <v>0</v>
      </c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R158" s="97" t="s">
        <v>83</v>
      </c>
      <c r="AT158" s="97" t="s">
        <v>78</v>
      </c>
      <c r="AU158" s="97" t="s">
        <v>47</v>
      </c>
      <c r="AY158" s="10" t="s">
        <v>75</v>
      </c>
      <c r="BE158" s="98">
        <f>IF(N158="základní",J158,0)</f>
        <v>1252.92</v>
      </c>
      <c r="BF158" s="98">
        <f>IF(N158="snížená",J158,0)</f>
        <v>0</v>
      </c>
      <c r="BG158" s="98">
        <f>IF(N158="zákl. přenesená",J158,0)</f>
        <v>0</v>
      </c>
      <c r="BH158" s="98">
        <f>IF(N158="sníž. přenesená",J158,0)</f>
        <v>0</v>
      </c>
      <c r="BI158" s="98">
        <f>IF(N158="nulová",J158,0)</f>
        <v>0</v>
      </c>
      <c r="BJ158" s="10" t="s">
        <v>46</v>
      </c>
      <c r="BK158" s="98">
        <f>ROUND(I158*H158,2)</f>
        <v>1252.92</v>
      </c>
      <c r="BL158" s="10" t="s">
        <v>83</v>
      </c>
      <c r="BM158" s="97" t="s">
        <v>229</v>
      </c>
    </row>
    <row r="159" spans="1:65" s="1" customFormat="1" ht="39" x14ac:dyDescent="0.2">
      <c r="A159" s="156"/>
      <c r="B159" s="16"/>
      <c r="C159" s="156"/>
      <c r="D159" s="99" t="s">
        <v>84</v>
      </c>
      <c r="E159" s="156"/>
      <c r="F159" s="100" t="s">
        <v>92</v>
      </c>
      <c r="G159" s="156"/>
      <c r="H159" s="156"/>
      <c r="I159" s="101"/>
      <c r="J159" s="156"/>
      <c r="K159" s="156"/>
      <c r="L159" s="16"/>
      <c r="M159" s="102"/>
      <c r="N159" s="103"/>
      <c r="O159" s="27"/>
      <c r="P159" s="27"/>
      <c r="Q159" s="27"/>
      <c r="R159" s="27"/>
      <c r="S159" s="27"/>
      <c r="T159" s="28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T159" s="10" t="s">
        <v>84</v>
      </c>
      <c r="AU159" s="10" t="s">
        <v>47</v>
      </c>
    </row>
    <row r="160" spans="1:65" s="1" customFormat="1" ht="39" x14ac:dyDescent="0.2">
      <c r="A160" s="156"/>
      <c r="B160" s="16"/>
      <c r="C160" s="156"/>
      <c r="D160" s="99" t="s">
        <v>86</v>
      </c>
      <c r="E160" s="156"/>
      <c r="F160" s="104" t="s">
        <v>225</v>
      </c>
      <c r="G160" s="156"/>
      <c r="H160" s="156"/>
      <c r="I160" s="101"/>
      <c r="J160" s="156"/>
      <c r="K160" s="156"/>
      <c r="L160" s="16"/>
      <c r="M160" s="102"/>
      <c r="N160" s="103"/>
      <c r="O160" s="27"/>
      <c r="P160" s="27"/>
      <c r="Q160" s="27"/>
      <c r="R160" s="27"/>
      <c r="S160" s="27"/>
      <c r="T160" s="28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T160" s="10" t="s">
        <v>86</v>
      </c>
      <c r="AU160" s="10" t="s">
        <v>47</v>
      </c>
    </row>
    <row r="161" spans="1:65" s="1" customFormat="1" ht="24.2" customHeight="1" x14ac:dyDescent="0.2">
      <c r="A161" s="156"/>
      <c r="B161" s="85"/>
      <c r="C161" s="86" t="s">
        <v>230</v>
      </c>
      <c r="D161" s="86" t="s">
        <v>78</v>
      </c>
      <c r="E161" s="87" t="s">
        <v>94</v>
      </c>
      <c r="F161" s="88" t="s">
        <v>95</v>
      </c>
      <c r="G161" s="89" t="s">
        <v>81</v>
      </c>
      <c r="H161" s="90">
        <v>1.2829999999999999</v>
      </c>
      <c r="I161" s="91">
        <v>650.27058629099099</v>
      </c>
      <c r="J161" s="92">
        <f>ROUND(I161*H161,2)</f>
        <v>834.3</v>
      </c>
      <c r="K161" s="88" t="s">
        <v>82</v>
      </c>
      <c r="L161" s="16"/>
      <c r="M161" s="93" t="s">
        <v>0</v>
      </c>
      <c r="N161" s="94" t="s">
        <v>27</v>
      </c>
      <c r="O161" s="27"/>
      <c r="P161" s="95">
        <f>O161*H161</f>
        <v>0</v>
      </c>
      <c r="Q161" s="95">
        <v>0</v>
      </c>
      <c r="R161" s="95">
        <f>Q161*H161</f>
        <v>0</v>
      </c>
      <c r="S161" s="95">
        <v>0</v>
      </c>
      <c r="T161" s="96">
        <f>S161*H161</f>
        <v>0</v>
      </c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R161" s="97" t="s">
        <v>83</v>
      </c>
      <c r="AT161" s="97" t="s">
        <v>78</v>
      </c>
      <c r="AU161" s="97" t="s">
        <v>47</v>
      </c>
      <c r="AY161" s="10" t="s">
        <v>75</v>
      </c>
      <c r="BE161" s="98">
        <f>IF(N161="základní",J161,0)</f>
        <v>834.3</v>
      </c>
      <c r="BF161" s="98">
        <f>IF(N161="snížená",J161,0)</f>
        <v>0</v>
      </c>
      <c r="BG161" s="98">
        <f>IF(N161="zákl. přenesená",J161,0)</f>
        <v>0</v>
      </c>
      <c r="BH161" s="98">
        <f>IF(N161="sníž. přenesená",J161,0)</f>
        <v>0</v>
      </c>
      <c r="BI161" s="98">
        <f>IF(N161="nulová",J161,0)</f>
        <v>0</v>
      </c>
      <c r="BJ161" s="10" t="s">
        <v>46</v>
      </c>
      <c r="BK161" s="98">
        <f>ROUND(I161*H161,2)</f>
        <v>834.3</v>
      </c>
      <c r="BL161" s="10" t="s">
        <v>83</v>
      </c>
      <c r="BM161" s="97" t="s">
        <v>231</v>
      </c>
    </row>
    <row r="162" spans="1:65" s="1" customFormat="1" ht="29.25" x14ac:dyDescent="0.2">
      <c r="A162" s="156"/>
      <c r="B162" s="16"/>
      <c r="C162" s="156"/>
      <c r="D162" s="99" t="s">
        <v>84</v>
      </c>
      <c r="E162" s="156"/>
      <c r="F162" s="100" t="s">
        <v>96</v>
      </c>
      <c r="G162" s="156"/>
      <c r="H162" s="156"/>
      <c r="I162" s="101"/>
      <c r="J162" s="156"/>
      <c r="K162" s="156"/>
      <c r="L162" s="16"/>
      <c r="M162" s="102"/>
      <c r="N162" s="103"/>
      <c r="O162" s="27"/>
      <c r="P162" s="27"/>
      <c r="Q162" s="27"/>
      <c r="R162" s="27"/>
      <c r="S162" s="27"/>
      <c r="T162" s="28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T162" s="10" t="s">
        <v>84</v>
      </c>
      <c r="AU162" s="10" t="s">
        <v>47</v>
      </c>
    </row>
    <row r="163" spans="1:65" s="6" customFormat="1" x14ac:dyDescent="0.2">
      <c r="B163" s="105"/>
      <c r="D163" s="99" t="s">
        <v>87</v>
      </c>
      <c r="E163" s="106" t="s">
        <v>0</v>
      </c>
      <c r="F163" s="107" t="s">
        <v>97</v>
      </c>
      <c r="H163" s="106" t="s">
        <v>0</v>
      </c>
      <c r="I163" s="108"/>
      <c r="L163" s="105"/>
      <c r="M163" s="109"/>
      <c r="N163" s="110"/>
      <c r="O163" s="110"/>
      <c r="P163" s="110"/>
      <c r="Q163" s="110"/>
      <c r="R163" s="110"/>
      <c r="S163" s="110"/>
      <c r="T163" s="111"/>
      <c r="AT163" s="106" t="s">
        <v>87</v>
      </c>
      <c r="AU163" s="106" t="s">
        <v>47</v>
      </c>
      <c r="AV163" s="6" t="s">
        <v>46</v>
      </c>
      <c r="AW163" s="6" t="s">
        <v>19</v>
      </c>
      <c r="AX163" s="6" t="s">
        <v>45</v>
      </c>
      <c r="AY163" s="106" t="s">
        <v>75</v>
      </c>
    </row>
    <row r="164" spans="1:65" s="7" customFormat="1" x14ac:dyDescent="0.2">
      <c r="B164" s="112"/>
      <c r="D164" s="99" t="s">
        <v>87</v>
      </c>
      <c r="E164" s="113" t="s">
        <v>0</v>
      </c>
      <c r="F164" s="114" t="s">
        <v>497</v>
      </c>
      <c r="H164" s="115">
        <f>(3.208+3.208)*0.2</f>
        <v>1.2832000000000001</v>
      </c>
      <c r="I164" s="116"/>
      <c r="L164" s="112"/>
      <c r="M164" s="117"/>
      <c r="N164" s="118"/>
      <c r="O164" s="118"/>
      <c r="P164" s="118"/>
      <c r="Q164" s="118"/>
      <c r="R164" s="118"/>
      <c r="S164" s="118"/>
      <c r="T164" s="119"/>
      <c r="AT164" s="113" t="s">
        <v>87</v>
      </c>
      <c r="AU164" s="113" t="s">
        <v>47</v>
      </c>
      <c r="AV164" s="7" t="s">
        <v>47</v>
      </c>
      <c r="AW164" s="7" t="s">
        <v>19</v>
      </c>
      <c r="AX164" s="7" t="s">
        <v>46</v>
      </c>
      <c r="AY164" s="113" t="s">
        <v>75</v>
      </c>
    </row>
    <row r="165" spans="1:65" s="1" customFormat="1" ht="14.45" customHeight="1" x14ac:dyDescent="0.2">
      <c r="A165" s="156"/>
      <c r="B165" s="85"/>
      <c r="C165" s="86" t="s">
        <v>129</v>
      </c>
      <c r="D165" s="86" t="s">
        <v>78</v>
      </c>
      <c r="E165" s="87" t="s">
        <v>98</v>
      </c>
      <c r="F165" s="88" t="s">
        <v>99</v>
      </c>
      <c r="G165" s="89" t="s">
        <v>100</v>
      </c>
      <c r="H165" s="90">
        <v>8.8000000000000007</v>
      </c>
      <c r="I165" s="91">
        <v>156.6895922457376</v>
      </c>
      <c r="J165" s="92">
        <f>ROUND(I165*H165,2)</f>
        <v>1378.87</v>
      </c>
      <c r="K165" s="88" t="s">
        <v>82</v>
      </c>
      <c r="L165" s="16"/>
      <c r="M165" s="93" t="s">
        <v>0</v>
      </c>
      <c r="N165" s="94" t="s">
        <v>27</v>
      </c>
      <c r="O165" s="27"/>
      <c r="P165" s="95">
        <f>O165*H165</f>
        <v>0</v>
      </c>
      <c r="Q165" s="95">
        <v>5.9000000000000003E-4</v>
      </c>
      <c r="R165" s="95">
        <f>Q165*H165</f>
        <v>5.1920000000000004E-3</v>
      </c>
      <c r="S165" s="95">
        <v>0</v>
      </c>
      <c r="T165" s="96">
        <f>S165*H165</f>
        <v>0</v>
      </c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R165" s="97" t="s">
        <v>83</v>
      </c>
      <c r="AT165" s="97" t="s">
        <v>78</v>
      </c>
      <c r="AU165" s="97" t="s">
        <v>47</v>
      </c>
      <c r="AY165" s="10" t="s">
        <v>75</v>
      </c>
      <c r="BE165" s="98">
        <f>IF(N165="základní",J165,0)</f>
        <v>1378.87</v>
      </c>
      <c r="BF165" s="98">
        <f>IF(N165="snížená",J165,0)</f>
        <v>0</v>
      </c>
      <c r="BG165" s="98">
        <f>IF(N165="zákl. přenesená",J165,0)</f>
        <v>0</v>
      </c>
      <c r="BH165" s="98">
        <f>IF(N165="sníž. přenesená",J165,0)</f>
        <v>0</v>
      </c>
      <c r="BI165" s="98">
        <f>IF(N165="nulová",J165,0)</f>
        <v>0</v>
      </c>
      <c r="BJ165" s="10" t="s">
        <v>46</v>
      </c>
      <c r="BK165" s="98">
        <f>ROUND(I165*H165,2)</f>
        <v>1378.87</v>
      </c>
      <c r="BL165" s="10" t="s">
        <v>83</v>
      </c>
      <c r="BM165" s="97" t="s">
        <v>232</v>
      </c>
    </row>
    <row r="166" spans="1:65" s="1" customFormat="1" ht="19.5" x14ac:dyDescent="0.2">
      <c r="A166" s="156"/>
      <c r="B166" s="16"/>
      <c r="C166" s="156"/>
      <c r="D166" s="99" t="s">
        <v>84</v>
      </c>
      <c r="E166" s="156"/>
      <c r="F166" s="100" t="s">
        <v>101</v>
      </c>
      <c r="G166" s="156"/>
      <c r="H166" s="156"/>
      <c r="I166" s="101"/>
      <c r="J166" s="156"/>
      <c r="K166" s="156"/>
      <c r="L166" s="16"/>
      <c r="M166" s="102"/>
      <c r="N166" s="103"/>
      <c r="O166" s="27"/>
      <c r="P166" s="27"/>
      <c r="Q166" s="27"/>
      <c r="R166" s="27"/>
      <c r="S166" s="27"/>
      <c r="T166" s="28"/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T166" s="10" t="s">
        <v>84</v>
      </c>
      <c r="AU166" s="10" t="s">
        <v>47</v>
      </c>
    </row>
    <row r="167" spans="1:65" s="1" customFormat="1" ht="29.25" x14ac:dyDescent="0.2">
      <c r="A167" s="156"/>
      <c r="B167" s="16"/>
      <c r="C167" s="156"/>
      <c r="D167" s="99" t="s">
        <v>86</v>
      </c>
      <c r="E167" s="156"/>
      <c r="F167" s="104" t="s">
        <v>217</v>
      </c>
      <c r="G167" s="156"/>
      <c r="H167" s="156"/>
      <c r="I167" s="101"/>
      <c r="J167" s="156"/>
      <c r="K167" s="156"/>
      <c r="L167" s="16"/>
      <c r="M167" s="102"/>
      <c r="N167" s="103"/>
      <c r="O167" s="27"/>
      <c r="P167" s="27"/>
      <c r="Q167" s="27"/>
      <c r="R167" s="27"/>
      <c r="S167" s="27"/>
      <c r="T167" s="28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T167" s="10" t="s">
        <v>86</v>
      </c>
      <c r="AU167" s="10" t="s">
        <v>47</v>
      </c>
    </row>
    <row r="168" spans="1:65" s="7" customFormat="1" x14ac:dyDescent="0.2">
      <c r="B168" s="112"/>
      <c r="D168" s="99" t="s">
        <v>87</v>
      </c>
      <c r="E168" s="113" t="s">
        <v>0</v>
      </c>
      <c r="F168" s="114" t="s">
        <v>498</v>
      </c>
      <c r="H168" s="115">
        <f>2*2.2*2</f>
        <v>8.8000000000000007</v>
      </c>
      <c r="I168" s="116"/>
      <c r="L168" s="112"/>
      <c r="M168" s="117"/>
      <c r="N168" s="118"/>
      <c r="O168" s="118"/>
      <c r="P168" s="118"/>
      <c r="Q168" s="118"/>
      <c r="R168" s="118"/>
      <c r="S168" s="118"/>
      <c r="T168" s="119"/>
      <c r="AT168" s="113" t="s">
        <v>87</v>
      </c>
      <c r="AU168" s="113" t="s">
        <v>47</v>
      </c>
      <c r="AV168" s="7" t="s">
        <v>47</v>
      </c>
      <c r="AW168" s="7" t="s">
        <v>19</v>
      </c>
      <c r="AX168" s="7" t="s">
        <v>46</v>
      </c>
      <c r="AY168" s="113" t="s">
        <v>75</v>
      </c>
    </row>
    <row r="169" spans="1:65" s="1" customFormat="1" ht="14.45" customHeight="1" x14ac:dyDescent="0.2">
      <c r="A169" s="156"/>
      <c r="B169" s="85"/>
      <c r="C169" s="86" t="s">
        <v>233</v>
      </c>
      <c r="D169" s="86" t="s">
        <v>78</v>
      </c>
      <c r="E169" s="87" t="s">
        <v>105</v>
      </c>
      <c r="F169" s="88" t="s">
        <v>106</v>
      </c>
      <c r="G169" s="89" t="s">
        <v>100</v>
      </c>
      <c r="H169" s="90">
        <v>8.8000000000000007</v>
      </c>
      <c r="I169" s="91">
        <v>103.33666316345877</v>
      </c>
      <c r="J169" s="92">
        <f>ROUND(I169*H169,2)</f>
        <v>909.36</v>
      </c>
      <c r="K169" s="88" t="s">
        <v>82</v>
      </c>
      <c r="L169" s="16"/>
      <c r="M169" s="93" t="s">
        <v>0</v>
      </c>
      <c r="N169" s="94" t="s">
        <v>27</v>
      </c>
      <c r="O169" s="27"/>
      <c r="P169" s="95">
        <f>O169*H169</f>
        <v>0</v>
      </c>
      <c r="Q169" s="95">
        <v>0</v>
      </c>
      <c r="R169" s="95">
        <f>Q169*H169</f>
        <v>0</v>
      </c>
      <c r="S169" s="95">
        <v>0</v>
      </c>
      <c r="T169" s="96">
        <f>S169*H169</f>
        <v>0</v>
      </c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R169" s="97" t="s">
        <v>83</v>
      </c>
      <c r="AT169" s="97" t="s">
        <v>78</v>
      </c>
      <c r="AU169" s="97" t="s">
        <v>47</v>
      </c>
      <c r="AY169" s="10" t="s">
        <v>75</v>
      </c>
      <c r="BE169" s="98">
        <f>IF(N169="základní",J169,0)</f>
        <v>909.36</v>
      </c>
      <c r="BF169" s="98">
        <f>IF(N169="snížená",J169,0)</f>
        <v>0</v>
      </c>
      <c r="BG169" s="98">
        <f>IF(N169="zákl. přenesená",J169,0)</f>
        <v>0</v>
      </c>
      <c r="BH169" s="98">
        <f>IF(N169="sníž. přenesená",J169,0)</f>
        <v>0</v>
      </c>
      <c r="BI169" s="98">
        <f>IF(N169="nulová",J169,0)</f>
        <v>0</v>
      </c>
      <c r="BJ169" s="10" t="s">
        <v>46</v>
      </c>
      <c r="BK169" s="98">
        <f>ROUND(I169*H169,2)</f>
        <v>909.36</v>
      </c>
      <c r="BL169" s="10" t="s">
        <v>83</v>
      </c>
      <c r="BM169" s="97" t="s">
        <v>234</v>
      </c>
    </row>
    <row r="170" spans="1:65" s="1" customFormat="1" ht="19.5" x14ac:dyDescent="0.2">
      <c r="A170" s="156"/>
      <c r="B170" s="16"/>
      <c r="C170" s="156"/>
      <c r="D170" s="99" t="s">
        <v>84</v>
      </c>
      <c r="E170" s="156"/>
      <c r="F170" s="100" t="s">
        <v>107</v>
      </c>
      <c r="G170" s="156"/>
      <c r="H170" s="156"/>
      <c r="I170" s="101"/>
      <c r="J170" s="156"/>
      <c r="K170" s="156"/>
      <c r="L170" s="16"/>
      <c r="M170" s="102"/>
      <c r="N170" s="103"/>
      <c r="O170" s="27"/>
      <c r="P170" s="27"/>
      <c r="Q170" s="27"/>
      <c r="R170" s="27"/>
      <c r="S170" s="27"/>
      <c r="T170" s="28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T170" s="10" t="s">
        <v>84</v>
      </c>
      <c r="AU170" s="10" t="s">
        <v>47</v>
      </c>
    </row>
    <row r="171" spans="1:65" s="1" customFormat="1" ht="37.9" customHeight="1" x14ac:dyDescent="0.2">
      <c r="A171" s="156"/>
      <c r="B171" s="85"/>
      <c r="C171" s="86" t="s">
        <v>235</v>
      </c>
      <c r="D171" s="86" t="s">
        <v>78</v>
      </c>
      <c r="E171" s="87" t="s">
        <v>109</v>
      </c>
      <c r="F171" s="88" t="s">
        <v>110</v>
      </c>
      <c r="G171" s="89" t="s">
        <v>81</v>
      </c>
      <c r="H171" s="90">
        <v>6.4160000000000004</v>
      </c>
      <c r="I171" s="91">
        <v>262.06861194786097</v>
      </c>
      <c r="J171" s="92">
        <f>ROUND(I171*H171,2)</f>
        <v>1681.43</v>
      </c>
      <c r="K171" s="88" t="s">
        <v>82</v>
      </c>
      <c r="L171" s="16"/>
      <c r="M171" s="93" t="s">
        <v>0</v>
      </c>
      <c r="N171" s="94" t="s">
        <v>27</v>
      </c>
      <c r="O171" s="27"/>
      <c r="P171" s="95">
        <f>O171*H171</f>
        <v>0</v>
      </c>
      <c r="Q171" s="95">
        <v>0</v>
      </c>
      <c r="R171" s="95">
        <f>Q171*H171</f>
        <v>0</v>
      </c>
      <c r="S171" s="95">
        <v>0</v>
      </c>
      <c r="T171" s="96">
        <f>S171*H171</f>
        <v>0</v>
      </c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R171" s="97" t="s">
        <v>83</v>
      </c>
      <c r="AT171" s="97" t="s">
        <v>78</v>
      </c>
      <c r="AU171" s="97" t="s">
        <v>47</v>
      </c>
      <c r="AY171" s="10" t="s">
        <v>75</v>
      </c>
      <c r="BE171" s="98">
        <f>IF(N171="základní",J171,0)</f>
        <v>1681.43</v>
      </c>
      <c r="BF171" s="98">
        <f>IF(N171="snížená",J171,0)</f>
        <v>0</v>
      </c>
      <c r="BG171" s="98">
        <f>IF(N171="zákl. přenesená",J171,0)</f>
        <v>0</v>
      </c>
      <c r="BH171" s="98">
        <f>IF(N171="sníž. přenesená",J171,0)</f>
        <v>0</v>
      </c>
      <c r="BI171" s="98">
        <f>IF(N171="nulová",J171,0)</f>
        <v>0</v>
      </c>
      <c r="BJ171" s="10" t="s">
        <v>46</v>
      </c>
      <c r="BK171" s="98">
        <f>ROUND(I171*H171,2)</f>
        <v>1681.43</v>
      </c>
      <c r="BL171" s="10" t="s">
        <v>83</v>
      </c>
      <c r="BM171" s="97" t="s">
        <v>236</v>
      </c>
    </row>
    <row r="172" spans="1:65" s="1" customFormat="1" ht="39" x14ac:dyDescent="0.2">
      <c r="A172" s="156"/>
      <c r="B172" s="16"/>
      <c r="C172" s="156"/>
      <c r="D172" s="99" t="s">
        <v>84</v>
      </c>
      <c r="E172" s="156"/>
      <c r="F172" s="100" t="s">
        <v>111</v>
      </c>
      <c r="G172" s="156"/>
      <c r="H172" s="156"/>
      <c r="I172" s="101"/>
      <c r="J172" s="156"/>
      <c r="K172" s="156"/>
      <c r="L172" s="16"/>
      <c r="M172" s="102"/>
      <c r="N172" s="103"/>
      <c r="O172" s="27"/>
      <c r="P172" s="27"/>
      <c r="Q172" s="27"/>
      <c r="R172" s="27"/>
      <c r="S172" s="27"/>
      <c r="T172" s="28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T172" s="10" t="s">
        <v>84</v>
      </c>
      <c r="AU172" s="10" t="s">
        <v>47</v>
      </c>
    </row>
    <row r="173" spans="1:65" s="6" customFormat="1" x14ac:dyDescent="0.2">
      <c r="B173" s="105"/>
      <c r="D173" s="99" t="s">
        <v>87</v>
      </c>
      <c r="E173" s="106" t="s">
        <v>0</v>
      </c>
      <c r="F173" s="107" t="s">
        <v>140</v>
      </c>
      <c r="H173" s="106" t="s">
        <v>0</v>
      </c>
      <c r="I173" s="108"/>
      <c r="L173" s="105"/>
      <c r="M173" s="109"/>
      <c r="N173" s="110"/>
      <c r="O173" s="110"/>
      <c r="P173" s="110"/>
      <c r="Q173" s="110"/>
      <c r="R173" s="110"/>
      <c r="S173" s="110"/>
      <c r="T173" s="111"/>
      <c r="AT173" s="106" t="s">
        <v>87</v>
      </c>
      <c r="AU173" s="106" t="s">
        <v>47</v>
      </c>
      <c r="AV173" s="6" t="s">
        <v>46</v>
      </c>
      <c r="AW173" s="6" t="s">
        <v>19</v>
      </c>
      <c r="AX173" s="6" t="s">
        <v>45</v>
      </c>
      <c r="AY173" s="106" t="s">
        <v>75</v>
      </c>
    </row>
    <row r="174" spans="1:65" s="7" customFormat="1" x14ac:dyDescent="0.2">
      <c r="B174" s="112"/>
      <c r="D174" s="99" t="s">
        <v>87</v>
      </c>
      <c r="E174" s="113" t="s">
        <v>0</v>
      </c>
      <c r="F174" s="114" t="s">
        <v>499</v>
      </c>
      <c r="H174" s="115">
        <f>3.208+3.208</f>
        <v>6.4160000000000004</v>
      </c>
      <c r="I174" s="116"/>
      <c r="L174" s="112"/>
      <c r="M174" s="117"/>
      <c r="N174" s="118"/>
      <c r="O174" s="118"/>
      <c r="P174" s="118"/>
      <c r="Q174" s="118"/>
      <c r="R174" s="118"/>
      <c r="S174" s="118"/>
      <c r="T174" s="119"/>
      <c r="AT174" s="113" t="s">
        <v>87</v>
      </c>
      <c r="AU174" s="113" t="s">
        <v>47</v>
      </c>
      <c r="AV174" s="7" t="s">
        <v>47</v>
      </c>
      <c r="AW174" s="7" t="s">
        <v>19</v>
      </c>
      <c r="AX174" s="7" t="s">
        <v>45</v>
      </c>
      <c r="AY174" s="113" t="s">
        <v>75</v>
      </c>
    </row>
    <row r="175" spans="1:65" s="1" customFormat="1" ht="37.9" customHeight="1" x14ac:dyDescent="0.2">
      <c r="A175" s="156"/>
      <c r="B175" s="85"/>
      <c r="C175" s="86" t="s">
        <v>237</v>
      </c>
      <c r="D175" s="86" t="s">
        <v>78</v>
      </c>
      <c r="E175" s="87" t="s">
        <v>238</v>
      </c>
      <c r="F175" s="88" t="s">
        <v>239</v>
      </c>
      <c r="G175" s="89" t="s">
        <v>81</v>
      </c>
      <c r="H175" s="90">
        <v>0.64159999999999995</v>
      </c>
      <c r="I175" s="91">
        <v>282.06861194786097</v>
      </c>
      <c r="J175" s="92">
        <f>ROUND(I175*H175,2)</f>
        <v>180.98</v>
      </c>
      <c r="K175" s="88" t="s">
        <v>0</v>
      </c>
      <c r="L175" s="16"/>
      <c r="M175" s="93" t="s">
        <v>0</v>
      </c>
      <c r="N175" s="94" t="s">
        <v>27</v>
      </c>
      <c r="O175" s="27"/>
      <c r="P175" s="95">
        <f>O175*H175</f>
        <v>0</v>
      </c>
      <c r="Q175" s="95">
        <v>0</v>
      </c>
      <c r="R175" s="95">
        <f>Q175*H175</f>
        <v>0</v>
      </c>
      <c r="S175" s="95">
        <v>0</v>
      </c>
      <c r="T175" s="96">
        <f>S175*H175</f>
        <v>0</v>
      </c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R175" s="97" t="s">
        <v>83</v>
      </c>
      <c r="AT175" s="97" t="s">
        <v>78</v>
      </c>
      <c r="AU175" s="97" t="s">
        <v>47</v>
      </c>
      <c r="AY175" s="10" t="s">
        <v>75</v>
      </c>
      <c r="BE175" s="98">
        <f>IF(N175="základní",J175,0)</f>
        <v>180.98</v>
      </c>
      <c r="BF175" s="98">
        <f>IF(N175="snížená",J175,0)</f>
        <v>0</v>
      </c>
      <c r="BG175" s="98">
        <f>IF(N175="zákl. přenesená",J175,0)</f>
        <v>0</v>
      </c>
      <c r="BH175" s="98">
        <f>IF(N175="sníž. přenesená",J175,0)</f>
        <v>0</v>
      </c>
      <c r="BI175" s="98">
        <f>IF(N175="nulová",J175,0)</f>
        <v>0</v>
      </c>
      <c r="BJ175" s="10" t="s">
        <v>46</v>
      </c>
      <c r="BK175" s="98">
        <f>ROUND(I175*H175,2)</f>
        <v>180.98</v>
      </c>
      <c r="BL175" s="10" t="s">
        <v>83</v>
      </c>
      <c r="BM175" s="97" t="s">
        <v>240</v>
      </c>
    </row>
    <row r="176" spans="1:65" s="1" customFormat="1" ht="39" x14ac:dyDescent="0.2">
      <c r="A176" s="156"/>
      <c r="B176" s="16"/>
      <c r="C176" s="156"/>
      <c r="D176" s="99" t="s">
        <v>84</v>
      </c>
      <c r="E176" s="156"/>
      <c r="F176" s="100" t="s">
        <v>111</v>
      </c>
      <c r="G176" s="156"/>
      <c r="H176" s="156">
        <f>0.1*H171</f>
        <v>0.64160000000000006</v>
      </c>
      <c r="I176" s="101"/>
      <c r="J176" s="156"/>
      <c r="K176" s="156"/>
      <c r="L176" s="16"/>
      <c r="M176" s="102"/>
      <c r="N176" s="103"/>
      <c r="O176" s="27"/>
      <c r="P176" s="27"/>
      <c r="Q176" s="27"/>
      <c r="R176" s="27"/>
      <c r="S176" s="27"/>
      <c r="T176" s="28"/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T176" s="10" t="s">
        <v>84</v>
      </c>
      <c r="AU176" s="10" t="s">
        <v>47</v>
      </c>
    </row>
    <row r="177" spans="1:65" s="1" customFormat="1" ht="37.9" customHeight="1" x14ac:dyDescent="0.2">
      <c r="A177" s="156"/>
      <c r="B177" s="85"/>
      <c r="C177" s="86" t="s">
        <v>77</v>
      </c>
      <c r="D177" s="86" t="s">
        <v>78</v>
      </c>
      <c r="E177" s="87" t="s">
        <v>113</v>
      </c>
      <c r="F177" s="88" t="s">
        <v>114</v>
      </c>
      <c r="G177" s="89" t="s">
        <v>81</v>
      </c>
      <c r="H177" s="90">
        <v>3.2080000000000002</v>
      </c>
      <c r="I177" s="91">
        <v>3.4208109177592001</v>
      </c>
      <c r="J177" s="92">
        <f>ROUND(I177*H177,2)</f>
        <v>10.97</v>
      </c>
      <c r="K177" s="88" t="s">
        <v>82</v>
      </c>
      <c r="L177" s="16"/>
      <c r="M177" s="93" t="s">
        <v>0</v>
      </c>
      <c r="N177" s="94" t="s">
        <v>27</v>
      </c>
      <c r="O177" s="27"/>
      <c r="P177" s="95">
        <f>O177*H177</f>
        <v>0</v>
      </c>
      <c r="Q177" s="95">
        <v>0</v>
      </c>
      <c r="R177" s="95">
        <f>Q177*H177</f>
        <v>0</v>
      </c>
      <c r="S177" s="95">
        <v>0</v>
      </c>
      <c r="T177" s="96">
        <f>S177*H177</f>
        <v>0</v>
      </c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R177" s="97" t="s">
        <v>83</v>
      </c>
      <c r="AT177" s="97" t="s">
        <v>78</v>
      </c>
      <c r="AU177" s="97" t="s">
        <v>47</v>
      </c>
      <c r="AY177" s="10" t="s">
        <v>75</v>
      </c>
      <c r="BE177" s="98">
        <f>IF(N177="základní",J177,0)</f>
        <v>10.97</v>
      </c>
      <c r="BF177" s="98">
        <f>IF(N177="snížená",J177,0)</f>
        <v>0</v>
      </c>
      <c r="BG177" s="98">
        <f>IF(N177="zákl. přenesená",J177,0)</f>
        <v>0</v>
      </c>
      <c r="BH177" s="98">
        <f>IF(N177="sníž. přenesená",J177,0)</f>
        <v>0</v>
      </c>
      <c r="BI177" s="98">
        <f>IF(N177="nulová",J177,0)</f>
        <v>0</v>
      </c>
      <c r="BJ177" s="10" t="s">
        <v>46</v>
      </c>
      <c r="BK177" s="98">
        <f>ROUND(I177*H177,2)</f>
        <v>10.97</v>
      </c>
      <c r="BL177" s="10" t="s">
        <v>83</v>
      </c>
      <c r="BM177" s="97" t="s">
        <v>241</v>
      </c>
    </row>
    <row r="178" spans="1:65" s="1" customFormat="1" ht="48.75" x14ac:dyDescent="0.2">
      <c r="A178" s="156"/>
      <c r="B178" s="16"/>
      <c r="C178" s="156"/>
      <c r="D178" s="99" t="s">
        <v>84</v>
      </c>
      <c r="E178" s="156"/>
      <c r="F178" s="100" t="s">
        <v>115</v>
      </c>
      <c r="G178" s="156"/>
      <c r="H178" s="156"/>
      <c r="I178" s="101"/>
      <c r="J178" s="156"/>
      <c r="K178" s="156"/>
      <c r="L178" s="16"/>
      <c r="M178" s="102"/>
      <c r="N178" s="103"/>
      <c r="O178" s="27"/>
      <c r="P178" s="27"/>
      <c r="Q178" s="27"/>
      <c r="R178" s="27"/>
      <c r="S178" s="27"/>
      <c r="T178" s="28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T178" s="10" t="s">
        <v>84</v>
      </c>
      <c r="AU178" s="10" t="s">
        <v>47</v>
      </c>
    </row>
    <row r="179" spans="1:65" s="7" customFormat="1" x14ac:dyDescent="0.2">
      <c r="B179" s="112"/>
      <c r="D179" s="99" t="s">
        <v>87</v>
      </c>
      <c r="F179" s="114" t="s">
        <v>500</v>
      </c>
      <c r="H179" s="115">
        <f>0.6416*5</f>
        <v>3.2079999999999997</v>
      </c>
      <c r="I179" s="116"/>
      <c r="L179" s="112"/>
      <c r="M179" s="117"/>
      <c r="N179" s="118"/>
      <c r="O179" s="118"/>
      <c r="P179" s="118"/>
      <c r="Q179" s="118"/>
      <c r="R179" s="118"/>
      <c r="S179" s="118"/>
      <c r="T179" s="119"/>
      <c r="AT179" s="113" t="s">
        <v>87</v>
      </c>
      <c r="AU179" s="113" t="s">
        <v>47</v>
      </c>
      <c r="AV179" s="7" t="s">
        <v>47</v>
      </c>
      <c r="AW179" s="7" t="s">
        <v>1</v>
      </c>
      <c r="AX179" s="7" t="s">
        <v>46</v>
      </c>
      <c r="AY179" s="113" t="s">
        <v>75</v>
      </c>
    </row>
    <row r="180" spans="1:65" s="1" customFormat="1" ht="37.9" customHeight="1" x14ac:dyDescent="0.2">
      <c r="A180" s="156"/>
      <c r="B180" s="85"/>
      <c r="C180" s="86" t="s">
        <v>89</v>
      </c>
      <c r="D180" s="86" t="s">
        <v>78</v>
      </c>
      <c r="E180" s="87" t="s">
        <v>242</v>
      </c>
      <c r="F180" s="88" t="s">
        <v>243</v>
      </c>
      <c r="G180" s="89" t="s">
        <v>81</v>
      </c>
      <c r="H180" s="90">
        <v>3.21</v>
      </c>
      <c r="I180" s="91">
        <v>3.4208109177592001</v>
      </c>
      <c r="J180" s="92">
        <f>ROUND(I180*H180,2)</f>
        <v>10.98</v>
      </c>
      <c r="K180" s="88" t="s">
        <v>0</v>
      </c>
      <c r="L180" s="16"/>
      <c r="M180" s="93" t="s">
        <v>0</v>
      </c>
      <c r="N180" s="94" t="s">
        <v>27</v>
      </c>
      <c r="O180" s="27"/>
      <c r="P180" s="95">
        <f>O180*H180</f>
        <v>0</v>
      </c>
      <c r="Q180" s="95">
        <v>0</v>
      </c>
      <c r="R180" s="95">
        <f>Q180*H180</f>
        <v>0</v>
      </c>
      <c r="S180" s="95">
        <v>0</v>
      </c>
      <c r="T180" s="96">
        <f>S180*H180</f>
        <v>0</v>
      </c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R180" s="97" t="s">
        <v>83</v>
      </c>
      <c r="AT180" s="97" t="s">
        <v>78</v>
      </c>
      <c r="AU180" s="97" t="s">
        <v>47</v>
      </c>
      <c r="AY180" s="10" t="s">
        <v>75</v>
      </c>
      <c r="BE180" s="98">
        <f>IF(N180="základní",J180,0)</f>
        <v>10.98</v>
      </c>
      <c r="BF180" s="98">
        <f>IF(N180="snížená",J180,0)</f>
        <v>0</v>
      </c>
      <c r="BG180" s="98">
        <f>IF(N180="zákl. přenesená",J180,0)</f>
        <v>0</v>
      </c>
      <c r="BH180" s="98">
        <f>IF(N180="sníž. přenesená",J180,0)</f>
        <v>0</v>
      </c>
      <c r="BI180" s="98">
        <f>IF(N180="nulová",J180,0)</f>
        <v>0</v>
      </c>
      <c r="BJ180" s="10" t="s">
        <v>46</v>
      </c>
      <c r="BK180" s="98">
        <f>ROUND(I180*H180,2)</f>
        <v>10.98</v>
      </c>
      <c r="BL180" s="10" t="s">
        <v>83</v>
      </c>
      <c r="BM180" s="97" t="s">
        <v>244</v>
      </c>
    </row>
    <row r="181" spans="1:65" s="1" customFormat="1" ht="48.75" x14ac:dyDescent="0.2">
      <c r="A181" s="156"/>
      <c r="B181" s="16"/>
      <c r="C181" s="156"/>
      <c r="D181" s="99" t="s">
        <v>84</v>
      </c>
      <c r="E181" s="156"/>
      <c r="F181" s="100" t="s">
        <v>115</v>
      </c>
      <c r="G181" s="156"/>
      <c r="H181" s="156"/>
      <c r="I181" s="101"/>
      <c r="J181" s="156"/>
      <c r="K181" s="156"/>
      <c r="L181" s="16"/>
      <c r="M181" s="102"/>
      <c r="N181" s="103"/>
      <c r="O181" s="27"/>
      <c r="P181" s="27"/>
      <c r="Q181" s="27"/>
      <c r="R181" s="27"/>
      <c r="S181" s="27"/>
      <c r="T181" s="28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T181" s="10" t="s">
        <v>84</v>
      </c>
      <c r="AU181" s="10" t="s">
        <v>47</v>
      </c>
    </row>
    <row r="182" spans="1:65" s="7" customFormat="1" x14ac:dyDescent="0.2">
      <c r="B182" s="112"/>
      <c r="D182" s="99" t="s">
        <v>87</v>
      </c>
      <c r="F182" s="114" t="s">
        <v>501</v>
      </c>
      <c r="H182" s="115">
        <f>0.642*5</f>
        <v>3.21</v>
      </c>
      <c r="I182" s="116"/>
      <c r="L182" s="112"/>
      <c r="M182" s="117"/>
      <c r="N182" s="118"/>
      <c r="O182" s="118"/>
      <c r="P182" s="118"/>
      <c r="Q182" s="118"/>
      <c r="R182" s="118"/>
      <c r="S182" s="118"/>
      <c r="T182" s="119"/>
      <c r="AT182" s="113" t="s">
        <v>87</v>
      </c>
      <c r="AU182" s="113" t="s">
        <v>47</v>
      </c>
      <c r="AV182" s="7" t="s">
        <v>47</v>
      </c>
      <c r="AW182" s="7" t="s">
        <v>1</v>
      </c>
      <c r="AX182" s="7" t="s">
        <v>46</v>
      </c>
      <c r="AY182" s="113" t="s">
        <v>75</v>
      </c>
    </row>
    <row r="183" spans="1:65" s="1" customFormat="1" ht="24.2" customHeight="1" x14ac:dyDescent="0.2">
      <c r="A183" s="156"/>
      <c r="B183" s="85"/>
      <c r="C183" s="86" t="s">
        <v>93</v>
      </c>
      <c r="D183" s="86" t="s">
        <v>78</v>
      </c>
      <c r="E183" s="87" t="s">
        <v>245</v>
      </c>
      <c r="F183" s="88" t="s">
        <v>246</v>
      </c>
      <c r="G183" s="89" t="s">
        <v>81</v>
      </c>
      <c r="H183" s="90">
        <v>0.64159999999999995</v>
      </c>
      <c r="I183" s="91">
        <v>43.080493951075745</v>
      </c>
      <c r="J183" s="92">
        <f>ROUND(I183*H183,2)</f>
        <v>27.64</v>
      </c>
      <c r="K183" s="88" t="s">
        <v>82</v>
      </c>
      <c r="L183" s="16"/>
      <c r="M183" s="93" t="s">
        <v>0</v>
      </c>
      <c r="N183" s="94" t="s">
        <v>27</v>
      </c>
      <c r="O183" s="27"/>
      <c r="P183" s="95">
        <f>O183*H183</f>
        <v>0</v>
      </c>
      <c r="Q183" s="95">
        <v>0</v>
      </c>
      <c r="R183" s="95">
        <f>Q183*H183</f>
        <v>0</v>
      </c>
      <c r="S183" s="95">
        <v>0</v>
      </c>
      <c r="T183" s="96">
        <f>S183*H183</f>
        <v>0</v>
      </c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R183" s="97" t="s">
        <v>83</v>
      </c>
      <c r="AT183" s="97" t="s">
        <v>78</v>
      </c>
      <c r="AU183" s="97" t="s">
        <v>47</v>
      </c>
      <c r="AY183" s="10" t="s">
        <v>75</v>
      </c>
      <c r="BE183" s="98">
        <f>IF(N183="základní",J183,0)</f>
        <v>27.64</v>
      </c>
      <c r="BF183" s="98">
        <f>IF(N183="snížená",J183,0)</f>
        <v>0</v>
      </c>
      <c r="BG183" s="98">
        <f>IF(N183="zákl. přenesená",J183,0)</f>
        <v>0</v>
      </c>
      <c r="BH183" s="98">
        <f>IF(N183="sníž. přenesená",J183,0)</f>
        <v>0</v>
      </c>
      <c r="BI183" s="98">
        <f>IF(N183="nulová",J183,0)</f>
        <v>0</v>
      </c>
      <c r="BJ183" s="10" t="s">
        <v>46</v>
      </c>
      <c r="BK183" s="98">
        <f>ROUND(I183*H183,2)</f>
        <v>27.64</v>
      </c>
      <c r="BL183" s="10" t="s">
        <v>83</v>
      </c>
      <c r="BM183" s="97" t="s">
        <v>247</v>
      </c>
    </row>
    <row r="184" spans="1:65" s="1" customFormat="1" ht="29.25" x14ac:dyDescent="0.2">
      <c r="A184" s="156"/>
      <c r="B184" s="16"/>
      <c r="C184" s="156"/>
      <c r="D184" s="99" t="s">
        <v>84</v>
      </c>
      <c r="E184" s="156"/>
      <c r="F184" s="100" t="s">
        <v>248</v>
      </c>
      <c r="G184" s="156"/>
      <c r="H184" s="156"/>
      <c r="I184" s="101"/>
      <c r="J184" s="156"/>
      <c r="K184" s="156"/>
      <c r="L184" s="16"/>
      <c r="M184" s="102"/>
      <c r="N184" s="103"/>
      <c r="O184" s="27"/>
      <c r="P184" s="27"/>
      <c r="Q184" s="27"/>
      <c r="R184" s="27"/>
      <c r="S184" s="27"/>
      <c r="T184" s="28"/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T184" s="10" t="s">
        <v>84</v>
      </c>
      <c r="AU184" s="10" t="s">
        <v>47</v>
      </c>
    </row>
    <row r="185" spans="1:65" s="1" customFormat="1" ht="24.2" customHeight="1" x14ac:dyDescent="0.2">
      <c r="A185" s="156"/>
      <c r="B185" s="85"/>
      <c r="C185" s="86" t="s">
        <v>4</v>
      </c>
      <c r="D185" s="86" t="s">
        <v>78</v>
      </c>
      <c r="E185" s="87" t="s">
        <v>154</v>
      </c>
      <c r="F185" s="88" t="s">
        <v>155</v>
      </c>
      <c r="G185" s="89" t="s">
        <v>100</v>
      </c>
      <c r="H185" s="90">
        <v>3.98</v>
      </c>
      <c r="I185" s="91">
        <v>6.3644601414457247</v>
      </c>
      <c r="J185" s="92">
        <f>ROUND(I185*H185,2)</f>
        <v>25.33</v>
      </c>
      <c r="K185" s="88" t="s">
        <v>82</v>
      </c>
      <c r="L185" s="16"/>
      <c r="M185" s="93" t="s">
        <v>0</v>
      </c>
      <c r="N185" s="94" t="s">
        <v>27</v>
      </c>
      <c r="O185" s="27"/>
      <c r="P185" s="95">
        <f>O185*H185</f>
        <v>0</v>
      </c>
      <c r="Q185" s="95">
        <v>0</v>
      </c>
      <c r="R185" s="95">
        <f>Q185*H185</f>
        <v>0</v>
      </c>
      <c r="S185" s="95">
        <v>0</v>
      </c>
      <c r="T185" s="96">
        <f>S185*H185</f>
        <v>0</v>
      </c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R185" s="97" t="s">
        <v>83</v>
      </c>
      <c r="AT185" s="97" t="s">
        <v>78</v>
      </c>
      <c r="AU185" s="97" t="s">
        <v>47</v>
      </c>
      <c r="AY185" s="10" t="s">
        <v>75</v>
      </c>
      <c r="BE185" s="98">
        <f>IF(N185="základní",J185,0)</f>
        <v>25.33</v>
      </c>
      <c r="BF185" s="98">
        <f>IF(N185="snížená",J185,0)</f>
        <v>0</v>
      </c>
      <c r="BG185" s="98">
        <f>IF(N185="zákl. přenesená",J185,0)</f>
        <v>0</v>
      </c>
      <c r="BH185" s="98">
        <f>IF(N185="sníž. přenesená",J185,0)</f>
        <v>0</v>
      </c>
      <c r="BI185" s="98">
        <f>IF(N185="nulová",J185,0)</f>
        <v>0</v>
      </c>
      <c r="BJ185" s="10" t="s">
        <v>46</v>
      </c>
      <c r="BK185" s="98">
        <f>ROUND(I185*H185,2)</f>
        <v>25.33</v>
      </c>
      <c r="BL185" s="10" t="s">
        <v>83</v>
      </c>
      <c r="BM185" s="97" t="s">
        <v>249</v>
      </c>
    </row>
    <row r="186" spans="1:65" s="1" customFormat="1" ht="19.5" x14ac:dyDescent="0.2">
      <c r="A186" s="156"/>
      <c r="B186" s="16"/>
      <c r="C186" s="156"/>
      <c r="D186" s="99" t="s">
        <v>84</v>
      </c>
      <c r="E186" s="156"/>
      <c r="F186" s="100" t="s">
        <v>156</v>
      </c>
      <c r="G186" s="156"/>
      <c r="H186" s="156"/>
      <c r="I186" s="101"/>
      <c r="J186" s="156"/>
      <c r="K186" s="156"/>
      <c r="L186" s="16"/>
      <c r="M186" s="102"/>
      <c r="N186" s="103"/>
      <c r="O186" s="27"/>
      <c r="P186" s="27"/>
      <c r="Q186" s="27"/>
      <c r="R186" s="27"/>
      <c r="S186" s="27"/>
      <c r="T186" s="28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T186" s="10" t="s">
        <v>84</v>
      </c>
      <c r="AU186" s="10" t="s">
        <v>47</v>
      </c>
    </row>
    <row r="187" spans="1:65" s="1" customFormat="1" ht="19.5" x14ac:dyDescent="0.2">
      <c r="A187" s="156"/>
      <c r="B187" s="16"/>
      <c r="C187" s="156"/>
      <c r="D187" s="99" t="s">
        <v>86</v>
      </c>
      <c r="E187" s="156"/>
      <c r="F187" s="104" t="s">
        <v>102</v>
      </c>
      <c r="G187" s="156"/>
      <c r="H187" s="156"/>
      <c r="I187" s="101"/>
      <c r="J187" s="156"/>
      <c r="K187" s="156"/>
      <c r="L187" s="16"/>
      <c r="M187" s="102"/>
      <c r="N187" s="103"/>
      <c r="O187" s="27"/>
      <c r="P187" s="27"/>
      <c r="Q187" s="27"/>
      <c r="R187" s="27"/>
      <c r="S187" s="27"/>
      <c r="T187" s="28"/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T187" s="10" t="s">
        <v>86</v>
      </c>
      <c r="AU187" s="10" t="s">
        <v>47</v>
      </c>
    </row>
    <row r="188" spans="1:65" s="7" customFormat="1" x14ac:dyDescent="0.2">
      <c r="B188" s="112"/>
      <c r="D188" s="99" t="s">
        <v>87</v>
      </c>
      <c r="E188" s="113" t="s">
        <v>0</v>
      </c>
      <c r="F188" s="114" t="s">
        <v>502</v>
      </c>
      <c r="H188" s="115">
        <f>3.98*1</f>
        <v>3.98</v>
      </c>
      <c r="I188" s="116"/>
      <c r="L188" s="112"/>
      <c r="M188" s="117"/>
      <c r="N188" s="118"/>
      <c r="O188" s="118"/>
      <c r="P188" s="118"/>
      <c r="Q188" s="118"/>
      <c r="R188" s="118"/>
      <c r="S188" s="118"/>
      <c r="T188" s="119"/>
      <c r="AT188" s="113" t="s">
        <v>87</v>
      </c>
      <c r="AU188" s="113" t="s">
        <v>47</v>
      </c>
      <c r="AV188" s="7" t="s">
        <v>47</v>
      </c>
      <c r="AW188" s="7" t="s">
        <v>19</v>
      </c>
      <c r="AX188" s="7" t="s">
        <v>46</v>
      </c>
      <c r="AY188" s="113" t="s">
        <v>75</v>
      </c>
    </row>
    <row r="189" spans="1:65" s="1" customFormat="1" ht="24.2" customHeight="1" x14ac:dyDescent="0.2">
      <c r="A189" s="156"/>
      <c r="B189" s="85"/>
      <c r="C189" s="86" t="s">
        <v>104</v>
      </c>
      <c r="D189" s="86" t="s">
        <v>78</v>
      </c>
      <c r="E189" s="87" t="s">
        <v>117</v>
      </c>
      <c r="F189" s="88" t="s">
        <v>118</v>
      </c>
      <c r="G189" s="89" t="s">
        <v>119</v>
      </c>
      <c r="H189" s="90">
        <v>10.393000000000001</v>
      </c>
      <c r="I189" s="91">
        <v>110.6455721</v>
      </c>
      <c r="J189" s="92">
        <f>ROUND(I189*H189,2)</f>
        <v>1149.94</v>
      </c>
      <c r="K189" s="88" t="s">
        <v>82</v>
      </c>
      <c r="L189" s="16"/>
      <c r="M189" s="93" t="s">
        <v>0</v>
      </c>
      <c r="N189" s="94" t="s">
        <v>27</v>
      </c>
      <c r="O189" s="27"/>
      <c r="P189" s="95">
        <f>O189*H189</f>
        <v>0</v>
      </c>
      <c r="Q189" s="95">
        <v>0</v>
      </c>
      <c r="R189" s="95">
        <f>Q189*H189</f>
        <v>0</v>
      </c>
      <c r="S189" s="95">
        <v>0</v>
      </c>
      <c r="T189" s="96">
        <f>S189*H189</f>
        <v>0</v>
      </c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R189" s="97" t="s">
        <v>83</v>
      </c>
      <c r="AT189" s="97" t="s">
        <v>78</v>
      </c>
      <c r="AU189" s="97" t="s">
        <v>47</v>
      </c>
      <c r="AY189" s="10" t="s">
        <v>75</v>
      </c>
      <c r="BE189" s="98">
        <f>IF(N189="základní",J189,0)</f>
        <v>1149.94</v>
      </c>
      <c r="BF189" s="98">
        <f>IF(N189="snížená",J189,0)</f>
        <v>0</v>
      </c>
      <c r="BG189" s="98">
        <f>IF(N189="zákl. přenesená",J189,0)</f>
        <v>0</v>
      </c>
      <c r="BH189" s="98">
        <f>IF(N189="sníž. přenesená",J189,0)</f>
        <v>0</v>
      </c>
      <c r="BI189" s="98">
        <f>IF(N189="nulová",J189,0)</f>
        <v>0</v>
      </c>
      <c r="BJ189" s="10" t="s">
        <v>46</v>
      </c>
      <c r="BK189" s="98">
        <f>ROUND(I189*H189,2)</f>
        <v>1149.94</v>
      </c>
      <c r="BL189" s="10" t="s">
        <v>83</v>
      </c>
      <c r="BM189" s="97" t="s">
        <v>251</v>
      </c>
    </row>
    <row r="190" spans="1:65" s="1" customFormat="1" ht="29.25" x14ac:dyDescent="0.2">
      <c r="A190" s="156"/>
      <c r="B190" s="16"/>
      <c r="C190" s="156"/>
      <c r="D190" s="99" t="s">
        <v>84</v>
      </c>
      <c r="E190" s="156"/>
      <c r="F190" s="100" t="s">
        <v>120</v>
      </c>
      <c r="G190" s="156"/>
      <c r="H190" s="156"/>
      <c r="I190" s="101"/>
      <c r="J190" s="156"/>
      <c r="K190" s="156"/>
      <c r="L190" s="16"/>
      <c r="M190" s="102"/>
      <c r="N190" s="103"/>
      <c r="O190" s="27"/>
      <c r="P190" s="27"/>
      <c r="Q190" s="27"/>
      <c r="R190" s="27"/>
      <c r="S190" s="27"/>
      <c r="T190" s="28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T190" s="10" t="s">
        <v>84</v>
      </c>
      <c r="AU190" s="10" t="s">
        <v>47</v>
      </c>
    </row>
    <row r="191" spans="1:65" s="6" customFormat="1" x14ac:dyDescent="0.2">
      <c r="B191" s="105"/>
      <c r="D191" s="99" t="s">
        <v>87</v>
      </c>
      <c r="E191" s="106" t="s">
        <v>0</v>
      </c>
      <c r="F191" s="107" t="s">
        <v>252</v>
      </c>
      <c r="H191" s="106" t="s">
        <v>0</v>
      </c>
      <c r="I191" s="108"/>
      <c r="L191" s="105"/>
      <c r="M191" s="109"/>
      <c r="N191" s="110"/>
      <c r="O191" s="110"/>
      <c r="P191" s="110"/>
      <c r="Q191" s="110"/>
      <c r="R191" s="110"/>
      <c r="S191" s="110"/>
      <c r="T191" s="111"/>
      <c r="AT191" s="106" t="s">
        <v>87</v>
      </c>
      <c r="AU191" s="106" t="s">
        <v>47</v>
      </c>
      <c r="AV191" s="6" t="s">
        <v>46</v>
      </c>
      <c r="AW191" s="6" t="s">
        <v>19</v>
      </c>
      <c r="AX191" s="6" t="s">
        <v>45</v>
      </c>
      <c r="AY191" s="106" t="s">
        <v>75</v>
      </c>
    </row>
    <row r="192" spans="1:65" s="7" customFormat="1" x14ac:dyDescent="0.2">
      <c r="B192" s="112"/>
      <c r="D192" s="99" t="s">
        <v>87</v>
      </c>
      <c r="E192" s="113" t="s">
        <v>0</v>
      </c>
      <c r="F192" s="114">
        <v>6.4160000000000004</v>
      </c>
      <c r="H192" s="115">
        <v>6.4160000000000004</v>
      </c>
      <c r="I192" s="116"/>
      <c r="L192" s="112"/>
      <c r="M192" s="117"/>
      <c r="N192" s="118"/>
      <c r="O192" s="118"/>
      <c r="P192" s="118"/>
      <c r="Q192" s="118"/>
      <c r="R192" s="118"/>
      <c r="S192" s="118"/>
      <c r="T192" s="119"/>
      <c r="AT192" s="113" t="s">
        <v>87</v>
      </c>
      <c r="AU192" s="113" t="s">
        <v>47</v>
      </c>
      <c r="AV192" s="7" t="s">
        <v>47</v>
      </c>
      <c r="AW192" s="7" t="s">
        <v>19</v>
      </c>
      <c r="AX192" s="7" t="s">
        <v>45</v>
      </c>
      <c r="AY192" s="113" t="s">
        <v>75</v>
      </c>
    </row>
    <row r="193" spans="1:65" s="6" customFormat="1" x14ac:dyDescent="0.2">
      <c r="B193" s="105"/>
      <c r="D193" s="99" t="s">
        <v>87</v>
      </c>
      <c r="E193" s="106" t="s">
        <v>0</v>
      </c>
      <c r="F193" s="107" t="s">
        <v>253</v>
      </c>
      <c r="H193" s="106" t="s">
        <v>0</v>
      </c>
      <c r="I193" s="108"/>
      <c r="L193" s="105"/>
      <c r="M193" s="109"/>
      <c r="N193" s="110"/>
      <c r="O193" s="110"/>
      <c r="P193" s="110"/>
      <c r="Q193" s="110"/>
      <c r="R193" s="110"/>
      <c r="S193" s="110"/>
      <c r="T193" s="111"/>
      <c r="AT193" s="106" t="s">
        <v>87</v>
      </c>
      <c r="AU193" s="106" t="s">
        <v>47</v>
      </c>
      <c r="AV193" s="6" t="s">
        <v>46</v>
      </c>
      <c r="AW193" s="6" t="s">
        <v>19</v>
      </c>
      <c r="AX193" s="6" t="s">
        <v>45</v>
      </c>
      <c r="AY193" s="106" t="s">
        <v>75</v>
      </c>
    </row>
    <row r="194" spans="1:65" s="7" customFormat="1" x14ac:dyDescent="0.2">
      <c r="B194" s="112"/>
      <c r="D194" s="99" t="s">
        <v>87</v>
      </c>
      <c r="E194" s="113" t="s">
        <v>0</v>
      </c>
      <c r="F194" s="114">
        <v>-0.64159999999999995</v>
      </c>
      <c r="H194" s="115">
        <v>-0.64159999999999995</v>
      </c>
      <c r="I194" s="116"/>
      <c r="L194" s="112"/>
      <c r="M194" s="117"/>
      <c r="N194" s="118"/>
      <c r="O194" s="118"/>
      <c r="P194" s="118"/>
      <c r="Q194" s="118"/>
      <c r="R194" s="118"/>
      <c r="S194" s="118"/>
      <c r="T194" s="119"/>
      <c r="AT194" s="113" t="s">
        <v>87</v>
      </c>
      <c r="AU194" s="113" t="s">
        <v>47</v>
      </c>
      <c r="AV194" s="7" t="s">
        <v>47</v>
      </c>
      <c r="AW194" s="7" t="s">
        <v>19</v>
      </c>
      <c r="AX194" s="7" t="s">
        <v>45</v>
      </c>
      <c r="AY194" s="113" t="s">
        <v>75</v>
      </c>
    </row>
    <row r="195" spans="1:65" s="9" customFormat="1" x14ac:dyDescent="0.2">
      <c r="B195" s="128"/>
      <c r="D195" s="99" t="s">
        <v>87</v>
      </c>
      <c r="E195" s="129" t="s">
        <v>0</v>
      </c>
      <c r="F195" s="130" t="s">
        <v>103</v>
      </c>
      <c r="H195" s="131">
        <f>H192+H194</f>
        <v>5.7744</v>
      </c>
      <c r="I195" s="132"/>
      <c r="L195" s="128"/>
      <c r="M195" s="133"/>
      <c r="N195" s="134"/>
      <c r="O195" s="134"/>
      <c r="P195" s="134"/>
      <c r="Q195" s="134"/>
      <c r="R195" s="134"/>
      <c r="S195" s="134"/>
      <c r="T195" s="135"/>
      <c r="AT195" s="129" t="s">
        <v>87</v>
      </c>
      <c r="AU195" s="129" t="s">
        <v>47</v>
      </c>
      <c r="AV195" s="9" t="s">
        <v>83</v>
      </c>
      <c r="AW195" s="9" t="s">
        <v>19</v>
      </c>
      <c r="AX195" s="9" t="s">
        <v>46</v>
      </c>
      <c r="AY195" s="129" t="s">
        <v>75</v>
      </c>
    </row>
    <row r="196" spans="1:65" s="7" customFormat="1" x14ac:dyDescent="0.2">
      <c r="B196" s="112"/>
      <c r="D196" s="99" t="s">
        <v>87</v>
      </c>
      <c r="F196" s="114" t="s">
        <v>503</v>
      </c>
      <c r="H196" s="115">
        <f>5.774*1.8</f>
        <v>10.3932</v>
      </c>
      <c r="I196" s="116"/>
      <c r="L196" s="112"/>
      <c r="M196" s="117"/>
      <c r="N196" s="118"/>
      <c r="O196" s="118"/>
      <c r="P196" s="118"/>
      <c r="Q196" s="118"/>
      <c r="R196" s="118"/>
      <c r="S196" s="118"/>
      <c r="T196" s="119"/>
      <c r="AT196" s="113" t="s">
        <v>87</v>
      </c>
      <c r="AU196" s="113" t="s">
        <v>47</v>
      </c>
      <c r="AV196" s="7" t="s">
        <v>47</v>
      </c>
      <c r="AW196" s="7" t="s">
        <v>1</v>
      </c>
      <c r="AX196" s="7" t="s">
        <v>46</v>
      </c>
      <c r="AY196" s="113" t="s">
        <v>75</v>
      </c>
    </row>
    <row r="197" spans="1:65" s="1" customFormat="1" ht="24.2" customHeight="1" x14ac:dyDescent="0.2">
      <c r="A197" s="156"/>
      <c r="B197" s="85"/>
      <c r="C197" s="86" t="s">
        <v>108</v>
      </c>
      <c r="D197" s="86" t="s">
        <v>78</v>
      </c>
      <c r="E197" s="87" t="s">
        <v>121</v>
      </c>
      <c r="F197" s="88" t="s">
        <v>122</v>
      </c>
      <c r="G197" s="89" t="s">
        <v>81</v>
      </c>
      <c r="H197" s="90">
        <v>5.4189999999999996</v>
      </c>
      <c r="I197" s="91">
        <v>140.64048227116101</v>
      </c>
      <c r="J197" s="92">
        <f>ROUND(I197*H197,2)</f>
        <v>762.13</v>
      </c>
      <c r="K197" s="88" t="s">
        <v>82</v>
      </c>
      <c r="L197" s="16"/>
      <c r="M197" s="93" t="s">
        <v>0</v>
      </c>
      <c r="N197" s="94" t="s">
        <v>27</v>
      </c>
      <c r="O197" s="27"/>
      <c r="P197" s="95">
        <f>O197*H197</f>
        <v>0</v>
      </c>
      <c r="Q197" s="95">
        <v>0</v>
      </c>
      <c r="R197" s="95">
        <f>Q197*H197</f>
        <v>0</v>
      </c>
      <c r="S197" s="95">
        <v>0</v>
      </c>
      <c r="T197" s="96">
        <f>S197*H197</f>
        <v>0</v>
      </c>
      <c r="U197" s="156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R197" s="97" t="s">
        <v>83</v>
      </c>
      <c r="AT197" s="97" t="s">
        <v>78</v>
      </c>
      <c r="AU197" s="97" t="s">
        <v>47</v>
      </c>
      <c r="AY197" s="10" t="s">
        <v>75</v>
      </c>
      <c r="BE197" s="98">
        <f>IF(N197="základní",J197,0)</f>
        <v>762.13</v>
      </c>
      <c r="BF197" s="98">
        <f>IF(N197="snížená",J197,0)</f>
        <v>0</v>
      </c>
      <c r="BG197" s="98">
        <f>IF(N197="zákl. přenesená",J197,0)</f>
        <v>0</v>
      </c>
      <c r="BH197" s="98">
        <f>IF(N197="sníž. přenesená",J197,0)</f>
        <v>0</v>
      </c>
      <c r="BI197" s="98">
        <f>IF(N197="nulová",J197,0)</f>
        <v>0</v>
      </c>
      <c r="BJ197" s="10" t="s">
        <v>46</v>
      </c>
      <c r="BK197" s="98">
        <f>ROUND(I197*H197,2)</f>
        <v>762.13</v>
      </c>
      <c r="BL197" s="10" t="s">
        <v>83</v>
      </c>
      <c r="BM197" s="97" t="s">
        <v>254</v>
      </c>
    </row>
    <row r="198" spans="1:65" s="1" customFormat="1" ht="29.25" x14ac:dyDescent="0.2">
      <c r="A198" s="156"/>
      <c r="B198" s="16"/>
      <c r="C198" s="156"/>
      <c r="D198" s="99" t="s">
        <v>84</v>
      </c>
      <c r="E198" s="156"/>
      <c r="F198" s="100" t="s">
        <v>123</v>
      </c>
      <c r="G198" s="156"/>
      <c r="H198" s="156"/>
      <c r="I198" s="101"/>
      <c r="J198" s="156"/>
      <c r="K198" s="156"/>
      <c r="L198" s="16"/>
      <c r="M198" s="102"/>
      <c r="N198" s="103"/>
      <c r="O198" s="27"/>
      <c r="P198" s="27"/>
      <c r="Q198" s="27"/>
      <c r="R198" s="27"/>
      <c r="S198" s="27"/>
      <c r="T198" s="28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T198" s="10" t="s">
        <v>84</v>
      </c>
      <c r="AU198" s="10" t="s">
        <v>47</v>
      </c>
    </row>
    <row r="199" spans="1:65" s="6" customFormat="1" x14ac:dyDescent="0.2">
      <c r="B199" s="105"/>
      <c r="D199" s="99" t="s">
        <v>87</v>
      </c>
      <c r="E199" s="106" t="s">
        <v>0</v>
      </c>
      <c r="F199" s="107" t="s">
        <v>124</v>
      </c>
      <c r="H199" s="106" t="s">
        <v>0</v>
      </c>
      <c r="I199" s="108"/>
      <c r="L199" s="105"/>
      <c r="M199" s="109"/>
      <c r="N199" s="110"/>
      <c r="O199" s="110"/>
      <c r="P199" s="110"/>
      <c r="Q199" s="110"/>
      <c r="R199" s="110"/>
      <c r="S199" s="110"/>
      <c r="T199" s="111"/>
      <c r="AT199" s="106" t="s">
        <v>87</v>
      </c>
      <c r="AU199" s="106" t="s">
        <v>47</v>
      </c>
      <c r="AV199" s="6" t="s">
        <v>46</v>
      </c>
      <c r="AW199" s="6" t="s">
        <v>19</v>
      </c>
      <c r="AX199" s="6" t="s">
        <v>45</v>
      </c>
      <c r="AY199" s="106" t="s">
        <v>75</v>
      </c>
    </row>
    <row r="200" spans="1:65" s="7" customFormat="1" x14ac:dyDescent="0.2">
      <c r="B200" s="112"/>
      <c r="D200" s="99" t="s">
        <v>87</v>
      </c>
      <c r="E200" s="113" t="s">
        <v>0</v>
      </c>
      <c r="F200" s="114" t="s">
        <v>499</v>
      </c>
      <c r="H200" s="115">
        <f>3.208+3.208</f>
        <v>6.4160000000000004</v>
      </c>
      <c r="I200" s="116"/>
      <c r="L200" s="112"/>
      <c r="M200" s="117"/>
      <c r="N200" s="118"/>
      <c r="O200" s="118"/>
      <c r="P200" s="118"/>
      <c r="Q200" s="118"/>
      <c r="R200" s="118"/>
      <c r="S200" s="118"/>
      <c r="T200" s="119"/>
      <c r="AT200" s="113" t="s">
        <v>87</v>
      </c>
      <c r="AU200" s="113" t="s">
        <v>47</v>
      </c>
      <c r="AV200" s="7" t="s">
        <v>47</v>
      </c>
      <c r="AW200" s="7" t="s">
        <v>19</v>
      </c>
      <c r="AX200" s="7" t="s">
        <v>45</v>
      </c>
      <c r="AY200" s="113" t="s">
        <v>75</v>
      </c>
    </row>
    <row r="201" spans="1:65" s="6" customFormat="1" x14ac:dyDescent="0.2">
      <c r="B201" s="105"/>
      <c r="D201" s="99" t="s">
        <v>87</v>
      </c>
      <c r="E201" s="106" t="s">
        <v>0</v>
      </c>
      <c r="F201" s="107" t="s">
        <v>157</v>
      </c>
      <c r="H201" s="106" t="s">
        <v>0</v>
      </c>
      <c r="I201" s="108"/>
      <c r="L201" s="105"/>
      <c r="M201" s="109"/>
      <c r="N201" s="110"/>
      <c r="O201" s="110"/>
      <c r="P201" s="110"/>
      <c r="Q201" s="110"/>
      <c r="R201" s="110"/>
      <c r="S201" s="110"/>
      <c r="T201" s="111"/>
      <c r="AT201" s="106" t="s">
        <v>87</v>
      </c>
      <c r="AU201" s="106" t="s">
        <v>47</v>
      </c>
      <c r="AV201" s="6" t="s">
        <v>46</v>
      </c>
      <c r="AW201" s="6" t="s">
        <v>19</v>
      </c>
      <c r="AX201" s="6" t="s">
        <v>45</v>
      </c>
      <c r="AY201" s="106" t="s">
        <v>75</v>
      </c>
    </row>
    <row r="202" spans="1:65" s="7" customFormat="1" x14ac:dyDescent="0.2">
      <c r="B202" s="112"/>
      <c r="D202" s="99" t="s">
        <v>87</v>
      </c>
      <c r="E202" s="113" t="s">
        <v>0</v>
      </c>
      <c r="F202" s="114">
        <v>-1.7909999999999999</v>
      </c>
      <c r="H202" s="115">
        <v>-1.7909999999999999</v>
      </c>
      <c r="I202" s="116"/>
      <c r="L202" s="112"/>
      <c r="M202" s="117"/>
      <c r="N202" s="118"/>
      <c r="O202" s="118"/>
      <c r="P202" s="118"/>
      <c r="Q202" s="118"/>
      <c r="R202" s="118"/>
      <c r="S202" s="118"/>
      <c r="T202" s="119"/>
      <c r="AT202" s="113" t="s">
        <v>87</v>
      </c>
      <c r="AU202" s="113" t="s">
        <v>47</v>
      </c>
      <c r="AV202" s="7" t="s">
        <v>47</v>
      </c>
      <c r="AW202" s="7" t="s">
        <v>19</v>
      </c>
      <c r="AX202" s="7" t="s">
        <v>45</v>
      </c>
      <c r="AY202" s="113" t="s">
        <v>75</v>
      </c>
    </row>
    <row r="203" spans="1:65" s="6" customFormat="1" x14ac:dyDescent="0.2">
      <c r="B203" s="105"/>
      <c r="D203" s="99" t="s">
        <v>87</v>
      </c>
      <c r="E203" s="106" t="s">
        <v>0</v>
      </c>
      <c r="F203" s="107" t="s">
        <v>158</v>
      </c>
      <c r="H203" s="106" t="s">
        <v>0</v>
      </c>
      <c r="I203" s="108"/>
      <c r="L203" s="105"/>
      <c r="M203" s="109"/>
      <c r="N203" s="110"/>
      <c r="O203" s="110"/>
      <c r="P203" s="110"/>
      <c r="Q203" s="110"/>
      <c r="R203" s="110"/>
      <c r="S203" s="110"/>
      <c r="T203" s="111"/>
      <c r="AT203" s="106" t="s">
        <v>87</v>
      </c>
      <c r="AU203" s="106" t="s">
        <v>47</v>
      </c>
      <c r="AV203" s="6" t="s">
        <v>46</v>
      </c>
      <c r="AW203" s="6" t="s">
        <v>19</v>
      </c>
      <c r="AX203" s="6" t="s">
        <v>45</v>
      </c>
      <c r="AY203" s="106" t="s">
        <v>75</v>
      </c>
    </row>
    <row r="204" spans="1:65" s="7" customFormat="1" x14ac:dyDescent="0.2">
      <c r="B204" s="112"/>
      <c r="D204" s="99" t="s">
        <v>87</v>
      </c>
      <c r="E204" s="113" t="s">
        <v>0</v>
      </c>
      <c r="F204" s="114">
        <v>-0.39800000000000002</v>
      </c>
      <c r="H204" s="115">
        <v>-0.39800000000000002</v>
      </c>
      <c r="I204" s="116"/>
      <c r="L204" s="112"/>
      <c r="M204" s="117"/>
      <c r="N204" s="118"/>
      <c r="O204" s="118"/>
      <c r="P204" s="118"/>
      <c r="Q204" s="118"/>
      <c r="R204" s="118"/>
      <c r="S204" s="118"/>
      <c r="T204" s="119"/>
      <c r="AT204" s="113" t="s">
        <v>87</v>
      </c>
      <c r="AU204" s="113" t="s">
        <v>47</v>
      </c>
      <c r="AV204" s="7" t="s">
        <v>47</v>
      </c>
      <c r="AW204" s="7" t="s">
        <v>19</v>
      </c>
      <c r="AX204" s="7" t="s">
        <v>45</v>
      </c>
      <c r="AY204" s="113" t="s">
        <v>75</v>
      </c>
    </row>
    <row r="205" spans="1:65" s="7" customFormat="1" x14ac:dyDescent="0.2">
      <c r="B205" s="112"/>
      <c r="D205" s="99" t="s">
        <v>87</v>
      </c>
      <c r="E205" s="113" t="s">
        <v>0</v>
      </c>
      <c r="F205" s="114" t="s">
        <v>507</v>
      </c>
      <c r="H205" s="115">
        <v>-0.2</v>
      </c>
      <c r="I205" s="116"/>
      <c r="L205" s="112"/>
      <c r="M205" s="117"/>
      <c r="N205" s="118"/>
      <c r="O205" s="118"/>
      <c r="P205" s="118"/>
      <c r="Q205" s="118"/>
      <c r="R205" s="118"/>
      <c r="S205" s="118"/>
      <c r="T205" s="119"/>
      <c r="AT205" s="113" t="s">
        <v>87</v>
      </c>
      <c r="AU205" s="113" t="s">
        <v>47</v>
      </c>
      <c r="AV205" s="7" t="s">
        <v>47</v>
      </c>
      <c r="AW205" s="7" t="s">
        <v>19</v>
      </c>
      <c r="AX205" s="7" t="s">
        <v>45</v>
      </c>
      <c r="AY205" s="113" t="s">
        <v>75</v>
      </c>
    </row>
    <row r="206" spans="1:65" s="7" customFormat="1" x14ac:dyDescent="0.2">
      <c r="B206" s="112"/>
      <c r="D206" s="99"/>
      <c r="E206" s="113"/>
      <c r="F206" s="107" t="s">
        <v>159</v>
      </c>
      <c r="H206" s="115"/>
      <c r="I206" s="116"/>
      <c r="L206" s="112"/>
      <c r="M206" s="117"/>
      <c r="N206" s="118"/>
      <c r="O206" s="118"/>
      <c r="P206" s="118"/>
      <c r="Q206" s="118"/>
      <c r="R206" s="118"/>
      <c r="S206" s="118"/>
      <c r="T206" s="119"/>
      <c r="AT206" s="113"/>
      <c r="AU206" s="113"/>
      <c r="AY206" s="113"/>
    </row>
    <row r="207" spans="1:65" s="7" customFormat="1" x14ac:dyDescent="0.2">
      <c r="B207" s="112"/>
      <c r="D207" s="99"/>
      <c r="E207" s="113"/>
      <c r="F207" s="114">
        <v>-0.2</v>
      </c>
      <c r="H207" s="115">
        <v>-0.2</v>
      </c>
      <c r="I207" s="116"/>
      <c r="L207" s="112"/>
      <c r="M207" s="117"/>
      <c r="N207" s="118"/>
      <c r="O207" s="118"/>
      <c r="P207" s="118"/>
      <c r="Q207" s="118"/>
      <c r="R207" s="118"/>
      <c r="S207" s="118"/>
      <c r="T207" s="119"/>
      <c r="AT207" s="113"/>
      <c r="AU207" s="113"/>
      <c r="AY207" s="113"/>
    </row>
    <row r="208" spans="1:65" s="7" customFormat="1" x14ac:dyDescent="0.2">
      <c r="B208" s="112"/>
      <c r="D208" s="99"/>
      <c r="E208" s="113"/>
      <c r="F208" s="107" t="s">
        <v>160</v>
      </c>
      <c r="G208" s="6"/>
      <c r="H208" s="106" t="s">
        <v>0</v>
      </c>
      <c r="I208" s="116"/>
      <c r="L208" s="112"/>
      <c r="M208" s="117"/>
      <c r="N208" s="118"/>
      <c r="O208" s="118"/>
      <c r="P208" s="118"/>
      <c r="Q208" s="118"/>
      <c r="R208" s="118"/>
      <c r="S208" s="118"/>
      <c r="T208" s="119"/>
      <c r="AT208" s="113"/>
      <c r="AU208" s="113"/>
      <c r="AY208" s="113"/>
    </row>
    <row r="209" spans="1:65" s="7" customFormat="1" x14ac:dyDescent="0.2">
      <c r="B209" s="112"/>
      <c r="D209" s="99"/>
      <c r="E209" s="113"/>
      <c r="F209" s="114" t="s">
        <v>508</v>
      </c>
      <c r="H209" s="115">
        <f>3.98*0.4</f>
        <v>1.5920000000000001</v>
      </c>
      <c r="I209" s="116"/>
      <c r="L209" s="112"/>
      <c r="M209" s="117"/>
      <c r="N209" s="118"/>
      <c r="O209" s="118"/>
      <c r="P209" s="118"/>
      <c r="Q209" s="118"/>
      <c r="R209" s="118"/>
      <c r="S209" s="118"/>
      <c r="T209" s="119"/>
      <c r="AT209" s="113"/>
      <c r="AU209" s="113"/>
      <c r="AY209" s="113"/>
    </row>
    <row r="210" spans="1:65" s="9" customFormat="1" x14ac:dyDescent="0.2">
      <c r="B210" s="128"/>
      <c r="D210" s="99" t="s">
        <v>87</v>
      </c>
      <c r="E210" s="129" t="s">
        <v>0</v>
      </c>
      <c r="F210" s="130" t="s">
        <v>103</v>
      </c>
      <c r="H210" s="131">
        <f>SUM(H200:H209)</f>
        <v>5.4190000000000005</v>
      </c>
      <c r="I210" s="132"/>
      <c r="L210" s="128"/>
      <c r="M210" s="133"/>
      <c r="N210" s="134"/>
      <c r="O210" s="134"/>
      <c r="P210" s="134"/>
      <c r="Q210" s="134"/>
      <c r="R210" s="134"/>
      <c r="S210" s="134"/>
      <c r="T210" s="135"/>
      <c r="AT210" s="129" t="s">
        <v>87</v>
      </c>
      <c r="AU210" s="129" t="s">
        <v>47</v>
      </c>
      <c r="AV210" s="9" t="s">
        <v>83</v>
      </c>
      <c r="AW210" s="9" t="s">
        <v>19</v>
      </c>
      <c r="AX210" s="9" t="s">
        <v>46</v>
      </c>
      <c r="AY210" s="129" t="s">
        <v>75</v>
      </c>
    </row>
    <row r="211" spans="1:65" s="1" customFormat="1" ht="14.45" customHeight="1" x14ac:dyDescent="0.2">
      <c r="A211" s="156"/>
      <c r="B211" s="85"/>
      <c r="C211" s="136" t="s">
        <v>112</v>
      </c>
      <c r="D211" s="136" t="s">
        <v>126</v>
      </c>
      <c r="E211" s="137" t="s">
        <v>127</v>
      </c>
      <c r="F211" s="138" t="s">
        <v>128</v>
      </c>
      <c r="G211" s="139" t="s">
        <v>119</v>
      </c>
      <c r="H211" s="140">
        <v>10.837999999999999</v>
      </c>
      <c r="I211" s="141">
        <v>390.0974172</v>
      </c>
      <c r="J211" s="142">
        <f>ROUND(I211*H211,2)</f>
        <v>4227.88</v>
      </c>
      <c r="K211" s="138" t="s">
        <v>82</v>
      </c>
      <c r="L211" s="143"/>
      <c r="M211" s="144" t="s">
        <v>0</v>
      </c>
      <c r="N211" s="145" t="s">
        <v>27</v>
      </c>
      <c r="O211" s="27"/>
      <c r="P211" s="95">
        <f>O211*H211</f>
        <v>0</v>
      </c>
      <c r="Q211" s="95">
        <v>1</v>
      </c>
      <c r="R211" s="95">
        <f>Q211*H211</f>
        <v>10.837999999999999</v>
      </c>
      <c r="S211" s="95">
        <v>0</v>
      </c>
      <c r="T211" s="96">
        <f>S211*H211</f>
        <v>0</v>
      </c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R211" s="97" t="s">
        <v>129</v>
      </c>
      <c r="AT211" s="97" t="s">
        <v>126</v>
      </c>
      <c r="AU211" s="97" t="s">
        <v>47</v>
      </c>
      <c r="AY211" s="10" t="s">
        <v>75</v>
      </c>
      <c r="BE211" s="98">
        <f>IF(N211="základní",J211,0)</f>
        <v>4227.88</v>
      </c>
      <c r="BF211" s="98">
        <f>IF(N211="snížená",J211,0)</f>
        <v>0</v>
      </c>
      <c r="BG211" s="98">
        <f>IF(N211="zákl. přenesená",J211,0)</f>
        <v>0</v>
      </c>
      <c r="BH211" s="98">
        <f>IF(N211="sníž. přenesená",J211,0)</f>
        <v>0</v>
      </c>
      <c r="BI211" s="98">
        <f>IF(N211="nulová",J211,0)</f>
        <v>0</v>
      </c>
      <c r="BJ211" s="10" t="s">
        <v>46</v>
      </c>
      <c r="BK211" s="98">
        <f>ROUND(I211*H211,2)</f>
        <v>4227.88</v>
      </c>
      <c r="BL211" s="10" t="s">
        <v>83</v>
      </c>
      <c r="BM211" s="97" t="s">
        <v>256</v>
      </c>
    </row>
    <row r="212" spans="1:65" s="1" customFormat="1" x14ac:dyDescent="0.2">
      <c r="A212" s="156"/>
      <c r="B212" s="16"/>
      <c r="C212" s="156"/>
      <c r="D212" s="99" t="s">
        <v>84</v>
      </c>
      <c r="E212" s="156"/>
      <c r="F212" s="100" t="s">
        <v>128</v>
      </c>
      <c r="G212" s="156"/>
      <c r="H212" s="156"/>
      <c r="I212" s="101"/>
      <c r="J212" s="156"/>
      <c r="K212" s="156"/>
      <c r="L212" s="16"/>
      <c r="M212" s="102"/>
      <c r="N212" s="103"/>
      <c r="O212" s="27"/>
      <c r="P212" s="27"/>
      <c r="Q212" s="27"/>
      <c r="R212" s="27"/>
      <c r="S212" s="27"/>
      <c r="T212" s="28"/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T212" s="10" t="s">
        <v>84</v>
      </c>
      <c r="AU212" s="10" t="s">
        <v>47</v>
      </c>
    </row>
    <row r="213" spans="1:65" s="1" customFormat="1" ht="19.5" x14ac:dyDescent="0.2">
      <c r="A213" s="156"/>
      <c r="B213" s="16"/>
      <c r="C213" s="156"/>
      <c r="D213" s="99" t="s">
        <v>86</v>
      </c>
      <c r="E213" s="156"/>
      <c r="F213" s="104" t="s">
        <v>130</v>
      </c>
      <c r="G213" s="156"/>
      <c r="H213" s="156"/>
      <c r="I213" s="101"/>
      <c r="J213" s="156"/>
      <c r="K213" s="156"/>
      <c r="L213" s="16"/>
      <c r="M213" s="102"/>
      <c r="N213" s="103"/>
      <c r="O213" s="27"/>
      <c r="P213" s="27"/>
      <c r="Q213" s="27"/>
      <c r="R213" s="27"/>
      <c r="S213" s="27"/>
      <c r="T213" s="28"/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T213" s="10" t="s">
        <v>86</v>
      </c>
      <c r="AU213" s="10" t="s">
        <v>47</v>
      </c>
    </row>
    <row r="214" spans="1:65" s="7" customFormat="1" x14ac:dyDescent="0.2">
      <c r="B214" s="112"/>
      <c r="D214" s="99" t="s">
        <v>87</v>
      </c>
      <c r="F214" s="114" t="s">
        <v>509</v>
      </c>
      <c r="H214" s="115">
        <f>H197*2</f>
        <v>10.837999999999999</v>
      </c>
      <c r="I214" s="116"/>
      <c r="L214" s="112"/>
      <c r="M214" s="117"/>
      <c r="N214" s="118"/>
      <c r="O214" s="118"/>
      <c r="P214" s="118"/>
      <c r="Q214" s="118"/>
      <c r="R214" s="118"/>
      <c r="S214" s="118"/>
      <c r="T214" s="119"/>
      <c r="AT214" s="113" t="s">
        <v>87</v>
      </c>
      <c r="AU214" s="113" t="s">
        <v>47</v>
      </c>
      <c r="AV214" s="7" t="s">
        <v>47</v>
      </c>
      <c r="AW214" s="7" t="s">
        <v>1</v>
      </c>
      <c r="AX214" s="7" t="s">
        <v>46</v>
      </c>
      <c r="AY214" s="113" t="s">
        <v>75</v>
      </c>
    </row>
    <row r="215" spans="1:65" s="1" customFormat="1" ht="24.2" customHeight="1" x14ac:dyDescent="0.2">
      <c r="A215" s="156"/>
      <c r="B215" s="85"/>
      <c r="C215" s="86" t="s">
        <v>139</v>
      </c>
      <c r="D215" s="86" t="s">
        <v>78</v>
      </c>
      <c r="E215" s="87" t="s">
        <v>162</v>
      </c>
      <c r="F215" s="88" t="s">
        <v>163</v>
      </c>
      <c r="G215" s="89" t="s">
        <v>81</v>
      </c>
      <c r="H215" s="90">
        <v>1.7909999999999999</v>
      </c>
      <c r="I215" s="91">
        <v>510.38291484661499</v>
      </c>
      <c r="J215" s="92">
        <f>ROUND(I215*H215,2)</f>
        <v>914.1</v>
      </c>
      <c r="K215" s="88" t="s">
        <v>82</v>
      </c>
      <c r="L215" s="16"/>
      <c r="M215" s="93" t="s">
        <v>0</v>
      </c>
      <c r="N215" s="94" t="s">
        <v>27</v>
      </c>
      <c r="O215" s="27"/>
      <c r="P215" s="95">
        <f>O215*H215</f>
        <v>0</v>
      </c>
      <c r="Q215" s="95">
        <v>0</v>
      </c>
      <c r="R215" s="95">
        <f>Q215*H215</f>
        <v>0</v>
      </c>
      <c r="S215" s="95">
        <v>0</v>
      </c>
      <c r="T215" s="96">
        <f>S215*H215</f>
        <v>0</v>
      </c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R215" s="97" t="s">
        <v>83</v>
      </c>
      <c r="AT215" s="97" t="s">
        <v>78</v>
      </c>
      <c r="AU215" s="97" t="s">
        <v>47</v>
      </c>
      <c r="AY215" s="10" t="s">
        <v>75</v>
      </c>
      <c r="BE215" s="98">
        <f>IF(N215="základní",J215,0)</f>
        <v>914.1</v>
      </c>
      <c r="BF215" s="98">
        <f>IF(N215="snížená",J215,0)</f>
        <v>0</v>
      </c>
      <c r="BG215" s="98">
        <f>IF(N215="zákl. přenesená",J215,0)</f>
        <v>0</v>
      </c>
      <c r="BH215" s="98">
        <f>IF(N215="sníž. přenesená",J215,0)</f>
        <v>0</v>
      </c>
      <c r="BI215" s="98">
        <f>IF(N215="nulová",J215,0)</f>
        <v>0</v>
      </c>
      <c r="BJ215" s="10" t="s">
        <v>46</v>
      </c>
      <c r="BK215" s="98">
        <f>ROUND(I215*H215,2)</f>
        <v>914.1</v>
      </c>
      <c r="BL215" s="10" t="s">
        <v>83</v>
      </c>
      <c r="BM215" s="97" t="s">
        <v>257</v>
      </c>
    </row>
    <row r="216" spans="1:65" s="1" customFormat="1" ht="39" x14ac:dyDescent="0.2">
      <c r="A216" s="156"/>
      <c r="B216" s="16"/>
      <c r="C216" s="156"/>
      <c r="D216" s="99" t="s">
        <v>84</v>
      </c>
      <c r="E216" s="156"/>
      <c r="F216" s="100" t="s">
        <v>164</v>
      </c>
      <c r="G216" s="156"/>
      <c r="H216" s="156"/>
      <c r="I216" s="101"/>
      <c r="J216" s="156"/>
      <c r="K216" s="156"/>
      <c r="L216" s="16"/>
      <c r="M216" s="102"/>
      <c r="N216" s="103"/>
      <c r="O216" s="27"/>
      <c r="P216" s="27"/>
      <c r="Q216" s="27"/>
      <c r="R216" s="27"/>
      <c r="S216" s="27"/>
      <c r="T216" s="28"/>
      <c r="U216" s="156"/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/>
      <c r="AT216" s="10" t="s">
        <v>84</v>
      </c>
      <c r="AU216" s="10" t="s">
        <v>47</v>
      </c>
    </row>
    <row r="217" spans="1:65" s="1" customFormat="1" ht="29.25" x14ac:dyDescent="0.2">
      <c r="A217" s="156"/>
      <c r="B217" s="16"/>
      <c r="C217" s="156"/>
      <c r="D217" s="99" t="s">
        <v>86</v>
      </c>
      <c r="E217" s="156"/>
      <c r="F217" s="104" t="s">
        <v>217</v>
      </c>
      <c r="G217" s="156"/>
      <c r="H217" s="156"/>
      <c r="I217" s="101"/>
      <c r="J217" s="156"/>
      <c r="K217" s="156"/>
      <c r="L217" s="16"/>
      <c r="M217" s="102"/>
      <c r="N217" s="103"/>
      <c r="O217" s="27"/>
      <c r="P217" s="27"/>
      <c r="Q217" s="27"/>
      <c r="R217" s="27"/>
      <c r="S217" s="27"/>
      <c r="T217" s="28"/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T217" s="10" t="s">
        <v>86</v>
      </c>
      <c r="AU217" s="10" t="s">
        <v>47</v>
      </c>
    </row>
    <row r="218" spans="1:65" s="7" customFormat="1" x14ac:dyDescent="0.2">
      <c r="B218" s="112"/>
      <c r="D218" s="99" t="s">
        <v>87</v>
      </c>
      <c r="E218" s="113" t="s">
        <v>0</v>
      </c>
      <c r="F218" s="114" t="s">
        <v>504</v>
      </c>
      <c r="H218" s="115">
        <f>3.98*0.45</f>
        <v>1.7909999999999999</v>
      </c>
      <c r="I218" s="116"/>
      <c r="L218" s="112"/>
      <c r="M218" s="117"/>
      <c r="N218" s="118"/>
      <c r="O218" s="118"/>
      <c r="P218" s="118"/>
      <c r="Q218" s="118"/>
      <c r="R218" s="118"/>
      <c r="S218" s="118"/>
      <c r="T218" s="119"/>
      <c r="AT218" s="113" t="s">
        <v>87</v>
      </c>
      <c r="AU218" s="113" t="s">
        <v>47</v>
      </c>
      <c r="AV218" s="7" t="s">
        <v>47</v>
      </c>
      <c r="AW218" s="7" t="s">
        <v>19</v>
      </c>
      <c r="AX218" s="7" t="s">
        <v>46</v>
      </c>
      <c r="AY218" s="113" t="s">
        <v>75</v>
      </c>
    </row>
    <row r="219" spans="1:65" s="1" customFormat="1" ht="14.45" customHeight="1" x14ac:dyDescent="0.2">
      <c r="A219" s="156"/>
      <c r="B219" s="85"/>
      <c r="C219" s="136" t="s">
        <v>116</v>
      </c>
      <c r="D219" s="136" t="s">
        <v>126</v>
      </c>
      <c r="E219" s="137" t="s">
        <v>144</v>
      </c>
      <c r="F219" s="138" t="s">
        <v>145</v>
      </c>
      <c r="G219" s="139" t="s">
        <v>119</v>
      </c>
      <c r="H219" s="140">
        <v>3.5819999999999999</v>
      </c>
      <c r="I219" s="141">
        <v>380.62816190000001</v>
      </c>
      <c r="J219" s="142">
        <f>ROUND(I219*H219,2)</f>
        <v>1363.41</v>
      </c>
      <c r="K219" s="138" t="s">
        <v>82</v>
      </c>
      <c r="L219" s="143"/>
      <c r="M219" s="144" t="s">
        <v>0</v>
      </c>
      <c r="N219" s="145" t="s">
        <v>27</v>
      </c>
      <c r="O219" s="27"/>
      <c r="P219" s="95">
        <f>O219*H219</f>
        <v>0</v>
      </c>
      <c r="Q219" s="95">
        <v>1</v>
      </c>
      <c r="R219" s="95">
        <f>Q219*H219</f>
        <v>3.5819999999999999</v>
      </c>
      <c r="S219" s="95">
        <v>0</v>
      </c>
      <c r="T219" s="96">
        <f>S219*H219</f>
        <v>0</v>
      </c>
      <c r="U219" s="156"/>
      <c r="V219" s="156"/>
      <c r="W219" s="156"/>
      <c r="X219" s="156"/>
      <c r="Y219" s="156"/>
      <c r="Z219" s="156"/>
      <c r="AA219" s="156"/>
      <c r="AB219" s="156"/>
      <c r="AC219" s="156"/>
      <c r="AD219" s="156"/>
      <c r="AE219" s="156"/>
      <c r="AR219" s="97" t="s">
        <v>129</v>
      </c>
      <c r="AT219" s="97" t="s">
        <v>126</v>
      </c>
      <c r="AU219" s="97" t="s">
        <v>47</v>
      </c>
      <c r="AY219" s="10" t="s">
        <v>75</v>
      </c>
      <c r="BE219" s="98">
        <f>IF(N219="základní",J219,0)</f>
        <v>1363.41</v>
      </c>
      <c r="BF219" s="98">
        <f>IF(N219="snížená",J219,0)</f>
        <v>0</v>
      </c>
      <c r="BG219" s="98">
        <f>IF(N219="zákl. přenesená",J219,0)</f>
        <v>0</v>
      </c>
      <c r="BH219" s="98">
        <f>IF(N219="sníž. přenesená",J219,0)</f>
        <v>0</v>
      </c>
      <c r="BI219" s="98">
        <f>IF(N219="nulová",J219,0)</f>
        <v>0</v>
      </c>
      <c r="BJ219" s="10" t="s">
        <v>46</v>
      </c>
      <c r="BK219" s="98">
        <f>ROUND(I219*H219,2)</f>
        <v>1363.41</v>
      </c>
      <c r="BL219" s="10" t="s">
        <v>83</v>
      </c>
      <c r="BM219" s="97" t="s">
        <v>258</v>
      </c>
    </row>
    <row r="220" spans="1:65" s="1" customFormat="1" x14ac:dyDescent="0.2">
      <c r="A220" s="156"/>
      <c r="B220" s="16"/>
      <c r="C220" s="156"/>
      <c r="D220" s="99" t="s">
        <v>84</v>
      </c>
      <c r="E220" s="156"/>
      <c r="F220" s="100" t="s">
        <v>145</v>
      </c>
      <c r="G220" s="156"/>
      <c r="H220" s="156"/>
      <c r="I220" s="101"/>
      <c r="J220" s="156"/>
      <c r="K220" s="156"/>
      <c r="L220" s="16"/>
      <c r="M220" s="102"/>
      <c r="N220" s="103"/>
      <c r="O220" s="27"/>
      <c r="P220" s="27"/>
      <c r="Q220" s="27"/>
      <c r="R220" s="27"/>
      <c r="S220" s="27"/>
      <c r="T220" s="28"/>
      <c r="U220" s="156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T220" s="10" t="s">
        <v>84</v>
      </c>
      <c r="AU220" s="10" t="s">
        <v>47</v>
      </c>
    </row>
    <row r="221" spans="1:65" s="7" customFormat="1" x14ac:dyDescent="0.2">
      <c r="B221" s="112"/>
      <c r="D221" s="99" t="s">
        <v>87</v>
      </c>
      <c r="F221" s="114" t="s">
        <v>505</v>
      </c>
      <c r="H221" s="115">
        <f>1.791*2</f>
        <v>3.5819999999999999</v>
      </c>
      <c r="I221" s="116"/>
      <c r="L221" s="112"/>
      <c r="M221" s="117"/>
      <c r="N221" s="118"/>
      <c r="O221" s="118"/>
      <c r="P221" s="118"/>
      <c r="Q221" s="118"/>
      <c r="R221" s="118"/>
      <c r="S221" s="118"/>
      <c r="T221" s="119"/>
      <c r="AT221" s="113" t="s">
        <v>87</v>
      </c>
      <c r="AU221" s="113" t="s">
        <v>47</v>
      </c>
      <c r="AV221" s="7" t="s">
        <v>47</v>
      </c>
      <c r="AW221" s="7" t="s">
        <v>1</v>
      </c>
      <c r="AX221" s="7" t="s">
        <v>46</v>
      </c>
      <c r="AY221" s="113" t="s">
        <v>75</v>
      </c>
    </row>
    <row r="222" spans="1:65" s="1" customFormat="1" ht="24.2" customHeight="1" x14ac:dyDescent="0.2">
      <c r="A222" s="156"/>
      <c r="B222" s="85"/>
      <c r="C222" s="86" t="s">
        <v>3</v>
      </c>
      <c r="D222" s="86" t="s">
        <v>78</v>
      </c>
      <c r="E222" s="87" t="s">
        <v>259</v>
      </c>
      <c r="F222" s="88" t="s">
        <v>260</v>
      </c>
      <c r="G222" s="89" t="s">
        <v>100</v>
      </c>
      <c r="H222" s="90">
        <v>2</v>
      </c>
      <c r="I222" s="91">
        <v>64.410667599999996</v>
      </c>
      <c r="J222" s="92">
        <f>ROUND(I222*H222,2)</f>
        <v>128.82</v>
      </c>
      <c r="K222" s="88" t="s">
        <v>0</v>
      </c>
      <c r="L222" s="16"/>
      <c r="M222" s="93" t="s">
        <v>0</v>
      </c>
      <c r="N222" s="94" t="s">
        <v>27</v>
      </c>
      <c r="O222" s="27"/>
      <c r="P222" s="95">
        <f>O222*H222</f>
        <v>0</v>
      </c>
      <c r="Q222" s="95">
        <v>0</v>
      </c>
      <c r="R222" s="95">
        <f>Q222*H222</f>
        <v>0</v>
      </c>
      <c r="S222" s="95">
        <v>0</v>
      </c>
      <c r="T222" s="96">
        <f>S222*H222</f>
        <v>0</v>
      </c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R222" s="97" t="s">
        <v>83</v>
      </c>
      <c r="AT222" s="97" t="s">
        <v>78</v>
      </c>
      <c r="AU222" s="97" t="s">
        <v>47</v>
      </c>
      <c r="AY222" s="10" t="s">
        <v>75</v>
      </c>
      <c r="BE222" s="98">
        <f>IF(N222="základní",J222,0)</f>
        <v>128.82</v>
      </c>
      <c r="BF222" s="98">
        <f>IF(N222="snížená",J222,0)</f>
        <v>0</v>
      </c>
      <c r="BG222" s="98">
        <f>IF(N222="zákl. přenesená",J222,0)</f>
        <v>0</v>
      </c>
      <c r="BH222" s="98">
        <f>IF(N222="sníž. přenesená",J222,0)</f>
        <v>0</v>
      </c>
      <c r="BI222" s="98">
        <f>IF(N222="nulová",J222,0)</f>
        <v>0</v>
      </c>
      <c r="BJ222" s="10" t="s">
        <v>46</v>
      </c>
      <c r="BK222" s="98">
        <f>ROUND(I222*H222,2)</f>
        <v>128.82</v>
      </c>
      <c r="BL222" s="10" t="s">
        <v>83</v>
      </c>
      <c r="BM222" s="97" t="s">
        <v>261</v>
      </c>
    </row>
    <row r="223" spans="1:65" s="1" customFormat="1" x14ac:dyDescent="0.2">
      <c r="A223" s="156"/>
      <c r="B223" s="16"/>
      <c r="C223" s="156"/>
      <c r="D223" s="99" t="s">
        <v>84</v>
      </c>
      <c r="E223" s="156"/>
      <c r="F223" s="100" t="s">
        <v>260</v>
      </c>
      <c r="G223" s="156"/>
      <c r="H223" s="156"/>
      <c r="I223" s="101"/>
      <c r="J223" s="156"/>
      <c r="K223" s="156"/>
      <c r="L223" s="16"/>
      <c r="M223" s="102"/>
      <c r="N223" s="103"/>
      <c r="O223" s="27"/>
      <c r="P223" s="27"/>
      <c r="Q223" s="27"/>
      <c r="R223" s="27"/>
      <c r="S223" s="27"/>
      <c r="T223" s="28"/>
      <c r="U223" s="156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T223" s="10" t="s">
        <v>84</v>
      </c>
      <c r="AU223" s="10" t="s">
        <v>47</v>
      </c>
    </row>
    <row r="224" spans="1:65" s="1" customFormat="1" ht="24.2" customHeight="1" x14ac:dyDescent="0.2">
      <c r="A224" s="156"/>
      <c r="B224" s="85"/>
      <c r="C224" s="86" t="s">
        <v>125</v>
      </c>
      <c r="D224" s="86" t="s">
        <v>78</v>
      </c>
      <c r="E224" s="87" t="s">
        <v>262</v>
      </c>
      <c r="F224" s="88" t="s">
        <v>263</v>
      </c>
      <c r="G224" s="89" t="s">
        <v>100</v>
      </c>
      <c r="H224" s="90">
        <v>2</v>
      </c>
      <c r="I224" s="91">
        <v>48.300657632010001</v>
      </c>
      <c r="J224" s="92">
        <f>ROUND(I224*H224,2)</f>
        <v>96.6</v>
      </c>
      <c r="K224" s="88" t="s">
        <v>82</v>
      </c>
      <c r="L224" s="16"/>
      <c r="M224" s="93" t="s">
        <v>0</v>
      </c>
      <c r="N224" s="94" t="s">
        <v>27</v>
      </c>
      <c r="O224" s="27"/>
      <c r="P224" s="95">
        <f>O224*H224</f>
        <v>0</v>
      </c>
      <c r="Q224" s="95">
        <v>0</v>
      </c>
      <c r="R224" s="95">
        <f>Q224*H224</f>
        <v>0</v>
      </c>
      <c r="S224" s="95">
        <v>0</v>
      </c>
      <c r="T224" s="96">
        <f>S224*H224</f>
        <v>0</v>
      </c>
      <c r="U224" s="156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R224" s="97" t="s">
        <v>83</v>
      </c>
      <c r="AT224" s="97" t="s">
        <v>78</v>
      </c>
      <c r="AU224" s="97" t="s">
        <v>47</v>
      </c>
      <c r="AY224" s="10" t="s">
        <v>75</v>
      </c>
      <c r="BE224" s="98">
        <f>IF(N224="základní",J224,0)</f>
        <v>96.6</v>
      </c>
      <c r="BF224" s="98">
        <f>IF(N224="snížená",J224,0)</f>
        <v>0</v>
      </c>
      <c r="BG224" s="98">
        <f>IF(N224="zákl. přenesená",J224,0)</f>
        <v>0</v>
      </c>
      <c r="BH224" s="98">
        <f>IF(N224="sníž. přenesená",J224,0)</f>
        <v>0</v>
      </c>
      <c r="BI224" s="98">
        <f>IF(N224="nulová",J224,0)</f>
        <v>0</v>
      </c>
      <c r="BJ224" s="10" t="s">
        <v>46</v>
      </c>
      <c r="BK224" s="98">
        <f>ROUND(I224*H224,2)</f>
        <v>96.6</v>
      </c>
      <c r="BL224" s="10" t="s">
        <v>83</v>
      </c>
      <c r="BM224" s="97" t="s">
        <v>264</v>
      </c>
    </row>
    <row r="225" spans="1:65" s="1" customFormat="1" ht="29.25" x14ac:dyDescent="0.2">
      <c r="A225" s="156"/>
      <c r="B225" s="16"/>
      <c r="C225" s="156"/>
      <c r="D225" s="99" t="s">
        <v>84</v>
      </c>
      <c r="E225" s="156"/>
      <c r="F225" s="100" t="s">
        <v>265</v>
      </c>
      <c r="G225" s="156"/>
      <c r="H225" s="156"/>
      <c r="I225" s="101"/>
      <c r="J225" s="156"/>
      <c r="K225" s="156"/>
      <c r="L225" s="16"/>
      <c r="M225" s="102"/>
      <c r="N225" s="103"/>
      <c r="O225" s="27"/>
      <c r="P225" s="27"/>
      <c r="Q225" s="27"/>
      <c r="R225" s="27"/>
      <c r="S225" s="27"/>
      <c r="T225" s="28"/>
      <c r="U225" s="156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T225" s="10" t="s">
        <v>84</v>
      </c>
      <c r="AU225" s="10" t="s">
        <v>47</v>
      </c>
    </row>
    <row r="226" spans="1:65" s="1" customFormat="1" ht="24.2" customHeight="1" x14ac:dyDescent="0.2">
      <c r="A226" s="156"/>
      <c r="B226" s="85"/>
      <c r="C226" s="86" t="s">
        <v>141</v>
      </c>
      <c r="D226" s="86" t="s">
        <v>78</v>
      </c>
      <c r="E226" s="87" t="s">
        <v>132</v>
      </c>
      <c r="F226" s="88" t="s">
        <v>133</v>
      </c>
      <c r="G226" s="89" t="s">
        <v>119</v>
      </c>
      <c r="H226" s="90">
        <v>14.42</v>
      </c>
      <c r="I226" s="91">
        <v>61.737071122597108</v>
      </c>
      <c r="J226" s="92">
        <f>ROUND(I226*H226,2)</f>
        <v>890.25</v>
      </c>
      <c r="K226" s="88" t="s">
        <v>82</v>
      </c>
      <c r="L226" s="16"/>
      <c r="M226" s="93" t="s">
        <v>0</v>
      </c>
      <c r="N226" s="94" t="s">
        <v>27</v>
      </c>
      <c r="O226" s="27"/>
      <c r="P226" s="95">
        <f>O226*H226</f>
        <v>0</v>
      </c>
      <c r="Q226" s="95">
        <v>0</v>
      </c>
      <c r="R226" s="95">
        <f>Q226*H226</f>
        <v>0</v>
      </c>
      <c r="S226" s="95">
        <v>0</v>
      </c>
      <c r="T226" s="96">
        <f>S226*H226</f>
        <v>0</v>
      </c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R226" s="97" t="s">
        <v>83</v>
      </c>
      <c r="AT226" s="97" t="s">
        <v>78</v>
      </c>
      <c r="AU226" s="97" t="s">
        <v>47</v>
      </c>
      <c r="AY226" s="10" t="s">
        <v>75</v>
      </c>
      <c r="BE226" s="98">
        <f>IF(N226="základní",J226,0)</f>
        <v>890.25</v>
      </c>
      <c r="BF226" s="98">
        <f>IF(N226="snížená",J226,0)</f>
        <v>0</v>
      </c>
      <c r="BG226" s="98">
        <f>IF(N226="zákl. přenesená",J226,0)</f>
        <v>0</v>
      </c>
      <c r="BH226" s="98">
        <f>IF(N226="sníž. přenesená",J226,0)</f>
        <v>0</v>
      </c>
      <c r="BI226" s="98">
        <f>IF(N226="nulová",J226,0)</f>
        <v>0</v>
      </c>
      <c r="BJ226" s="10" t="s">
        <v>46</v>
      </c>
      <c r="BK226" s="98">
        <f>ROUND(I226*H226,2)</f>
        <v>890.25</v>
      </c>
      <c r="BL226" s="10" t="s">
        <v>83</v>
      </c>
      <c r="BM226" s="97" t="s">
        <v>266</v>
      </c>
    </row>
    <row r="227" spans="1:65" s="1" customFormat="1" ht="29.25" x14ac:dyDescent="0.2">
      <c r="A227" s="156"/>
      <c r="B227" s="16"/>
      <c r="C227" s="156"/>
      <c r="D227" s="99" t="s">
        <v>84</v>
      </c>
      <c r="E227" s="156"/>
      <c r="F227" s="100" t="s">
        <v>134</v>
      </c>
      <c r="G227" s="156"/>
      <c r="H227" s="156"/>
      <c r="I227" s="101"/>
      <c r="J227" s="156"/>
      <c r="K227" s="156"/>
      <c r="L227" s="16"/>
      <c r="M227" s="102"/>
      <c r="N227" s="103"/>
      <c r="O227" s="27"/>
      <c r="P227" s="27"/>
      <c r="Q227" s="27"/>
      <c r="R227" s="27"/>
      <c r="S227" s="27"/>
      <c r="T227" s="28"/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T227" s="10" t="s">
        <v>84</v>
      </c>
      <c r="AU227" s="10" t="s">
        <v>47</v>
      </c>
    </row>
    <row r="228" spans="1:65" s="7" customFormat="1" x14ac:dyDescent="0.2">
      <c r="B228" s="112"/>
      <c r="D228" s="99" t="s">
        <v>87</v>
      </c>
      <c r="E228" s="113" t="s">
        <v>0</v>
      </c>
      <c r="F228" s="114" t="s">
        <v>510</v>
      </c>
      <c r="H228" s="115">
        <f>10.838+3.582</f>
        <v>14.419999999999998</v>
      </c>
      <c r="I228" s="116"/>
      <c r="L228" s="112"/>
      <c r="M228" s="117"/>
      <c r="N228" s="118"/>
      <c r="O228" s="118"/>
      <c r="P228" s="118"/>
      <c r="Q228" s="118"/>
      <c r="R228" s="118"/>
      <c r="S228" s="118"/>
      <c r="T228" s="119"/>
      <c r="AT228" s="113" t="s">
        <v>87</v>
      </c>
      <c r="AU228" s="113" t="s">
        <v>47</v>
      </c>
      <c r="AV228" s="7" t="s">
        <v>47</v>
      </c>
      <c r="AW228" s="7" t="s">
        <v>19</v>
      </c>
      <c r="AX228" s="7" t="s">
        <v>46</v>
      </c>
      <c r="AY228" s="113" t="s">
        <v>75</v>
      </c>
    </row>
    <row r="229" spans="1:65" s="5" customFormat="1" ht="22.9" customHeight="1" x14ac:dyDescent="0.2">
      <c r="B229" s="72"/>
      <c r="D229" s="73" t="s">
        <v>44</v>
      </c>
      <c r="E229" s="83" t="s">
        <v>47</v>
      </c>
      <c r="F229" s="83" t="s">
        <v>267</v>
      </c>
      <c r="I229" s="75"/>
      <c r="J229" s="84">
        <f>BK229</f>
        <v>1050.99</v>
      </c>
      <c r="L229" s="72"/>
      <c r="M229" s="77"/>
      <c r="N229" s="78"/>
      <c r="O229" s="78"/>
      <c r="P229" s="79">
        <f>SUM(P230:P233)</f>
        <v>0</v>
      </c>
      <c r="Q229" s="78"/>
      <c r="R229" s="79">
        <f>SUM(R230:R233)</f>
        <v>0.81466620000000001</v>
      </c>
      <c r="S229" s="78"/>
      <c r="T229" s="80">
        <f>SUM(T230:T233)</f>
        <v>0</v>
      </c>
      <c r="AR229" s="73" t="s">
        <v>46</v>
      </c>
      <c r="AT229" s="81" t="s">
        <v>44</v>
      </c>
      <c r="AU229" s="81" t="s">
        <v>46</v>
      </c>
      <c r="AY229" s="73" t="s">
        <v>75</v>
      </c>
      <c r="BK229" s="82">
        <f>SUM(BK230:BK233)</f>
        <v>1050.99</v>
      </c>
    </row>
    <row r="230" spans="1:65" s="1" customFormat="1" ht="37.9" customHeight="1" x14ac:dyDescent="0.2">
      <c r="A230" s="156"/>
      <c r="B230" s="85"/>
      <c r="C230" s="86" t="s">
        <v>161</v>
      </c>
      <c r="D230" s="86" t="s">
        <v>78</v>
      </c>
      <c r="E230" s="87" t="s">
        <v>268</v>
      </c>
      <c r="F230" s="88" t="s">
        <v>269</v>
      </c>
      <c r="G230" s="89" t="s">
        <v>270</v>
      </c>
      <c r="H230" s="90">
        <v>3.98</v>
      </c>
      <c r="I230" s="91">
        <v>264.06831423630393</v>
      </c>
      <c r="J230" s="92">
        <f>ROUND(I230*H230,2)</f>
        <v>1050.99</v>
      </c>
      <c r="K230" s="88" t="s">
        <v>82</v>
      </c>
      <c r="L230" s="16"/>
      <c r="M230" s="93" t="s">
        <v>0</v>
      </c>
      <c r="N230" s="94" t="s">
        <v>27</v>
      </c>
      <c r="O230" s="27"/>
      <c r="P230" s="95">
        <f>O230*H230</f>
        <v>0</v>
      </c>
      <c r="Q230" s="95">
        <v>0.20469000000000001</v>
      </c>
      <c r="R230" s="95">
        <f>Q230*H230</f>
        <v>0.81466620000000001</v>
      </c>
      <c r="S230" s="95">
        <v>0</v>
      </c>
      <c r="T230" s="96">
        <f>S230*H230</f>
        <v>0</v>
      </c>
      <c r="U230" s="156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R230" s="97" t="s">
        <v>83</v>
      </c>
      <c r="AT230" s="97" t="s">
        <v>78</v>
      </c>
      <c r="AU230" s="97" t="s">
        <v>47</v>
      </c>
      <c r="AY230" s="10" t="s">
        <v>75</v>
      </c>
      <c r="BE230" s="98">
        <f>IF(N230="základní",J230,0)</f>
        <v>1050.99</v>
      </c>
      <c r="BF230" s="98">
        <f>IF(N230="snížená",J230,0)</f>
        <v>0</v>
      </c>
      <c r="BG230" s="98">
        <f>IF(N230="zákl. přenesená",J230,0)</f>
        <v>0</v>
      </c>
      <c r="BH230" s="98">
        <f>IF(N230="sníž. přenesená",J230,0)</f>
        <v>0</v>
      </c>
      <c r="BI230" s="98">
        <f>IF(N230="nulová",J230,0)</f>
        <v>0</v>
      </c>
      <c r="BJ230" s="10" t="s">
        <v>46</v>
      </c>
      <c r="BK230" s="98">
        <f>ROUND(I230*H230,2)</f>
        <v>1050.99</v>
      </c>
      <c r="BL230" s="10" t="s">
        <v>83</v>
      </c>
      <c r="BM230" s="97" t="s">
        <v>271</v>
      </c>
    </row>
    <row r="231" spans="1:65" s="1" customFormat="1" ht="39" x14ac:dyDescent="0.2">
      <c r="A231" s="156"/>
      <c r="B231" s="16"/>
      <c r="C231" s="156"/>
      <c r="D231" s="99" t="s">
        <v>84</v>
      </c>
      <c r="E231" s="156"/>
      <c r="F231" s="100" t="s">
        <v>272</v>
      </c>
      <c r="G231" s="156"/>
      <c r="H231" s="156"/>
      <c r="I231" s="101"/>
      <c r="J231" s="156"/>
      <c r="K231" s="156"/>
      <c r="L231" s="16"/>
      <c r="M231" s="102"/>
      <c r="N231" s="103"/>
      <c r="O231" s="27"/>
      <c r="P231" s="27"/>
      <c r="Q231" s="27"/>
      <c r="R231" s="27"/>
      <c r="S231" s="27"/>
      <c r="T231" s="28"/>
      <c r="U231" s="156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T231" s="10" t="s">
        <v>84</v>
      </c>
      <c r="AU231" s="10" t="s">
        <v>47</v>
      </c>
    </row>
    <row r="232" spans="1:65" s="1" customFormat="1" ht="29.25" x14ac:dyDescent="0.2">
      <c r="A232" s="156"/>
      <c r="B232" s="16"/>
      <c r="C232" s="156"/>
      <c r="D232" s="99" t="s">
        <v>86</v>
      </c>
      <c r="E232" s="156"/>
      <c r="F232" s="104" t="s">
        <v>217</v>
      </c>
      <c r="G232" s="156"/>
      <c r="H232" s="156"/>
      <c r="I232" s="101"/>
      <c r="J232" s="156"/>
      <c r="K232" s="156"/>
      <c r="L232" s="16"/>
      <c r="M232" s="102"/>
      <c r="N232" s="103"/>
      <c r="O232" s="27"/>
      <c r="P232" s="27"/>
      <c r="Q232" s="27"/>
      <c r="R232" s="27"/>
      <c r="S232" s="27"/>
      <c r="T232" s="28"/>
      <c r="U232" s="156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T232" s="10" t="s">
        <v>86</v>
      </c>
      <c r="AU232" s="10" t="s">
        <v>47</v>
      </c>
    </row>
    <row r="233" spans="1:65" s="7" customFormat="1" x14ac:dyDescent="0.2">
      <c r="B233" s="112"/>
      <c r="D233" s="99" t="s">
        <v>87</v>
      </c>
      <c r="E233" s="113" t="s">
        <v>0</v>
      </c>
      <c r="F233" s="114"/>
      <c r="H233" s="115">
        <v>3.98</v>
      </c>
      <c r="I233" s="116"/>
      <c r="L233" s="112"/>
      <c r="M233" s="117"/>
      <c r="N233" s="118"/>
      <c r="O233" s="118"/>
      <c r="P233" s="118"/>
      <c r="Q233" s="118"/>
      <c r="R233" s="118"/>
      <c r="S233" s="118"/>
      <c r="T233" s="119"/>
      <c r="AT233" s="113" t="s">
        <v>87</v>
      </c>
      <c r="AU233" s="113" t="s">
        <v>47</v>
      </c>
      <c r="AV233" s="7" t="s">
        <v>47</v>
      </c>
      <c r="AW233" s="7" t="s">
        <v>19</v>
      </c>
      <c r="AX233" s="7" t="s">
        <v>46</v>
      </c>
      <c r="AY233" s="113" t="s">
        <v>75</v>
      </c>
    </row>
    <row r="234" spans="1:65" s="5" customFormat="1" ht="22.9" customHeight="1" x14ac:dyDescent="0.2">
      <c r="B234" s="72"/>
      <c r="D234" s="73" t="s">
        <v>44</v>
      </c>
      <c r="E234" s="83" t="s">
        <v>83</v>
      </c>
      <c r="F234" s="83" t="s">
        <v>274</v>
      </c>
      <c r="I234" s="75"/>
      <c r="J234" s="84">
        <f>BK234</f>
        <v>1296.71</v>
      </c>
      <c r="L234" s="72"/>
      <c r="M234" s="77"/>
      <c r="N234" s="78"/>
      <c r="O234" s="78"/>
      <c r="P234" s="79">
        <f>SUM(P235:P248)</f>
        <v>0</v>
      </c>
      <c r="Q234" s="78"/>
      <c r="R234" s="79">
        <f>SUM(R235:R248)</f>
        <v>0</v>
      </c>
      <c r="S234" s="78"/>
      <c r="T234" s="80">
        <f>SUM(T235:T248)</f>
        <v>0</v>
      </c>
      <c r="AR234" s="73" t="s">
        <v>46</v>
      </c>
      <c r="AT234" s="81" t="s">
        <v>44</v>
      </c>
      <c r="AU234" s="81" t="s">
        <v>46</v>
      </c>
      <c r="AY234" s="73" t="s">
        <v>75</v>
      </c>
      <c r="BK234" s="82">
        <f>SUM(BK235:BK248)</f>
        <v>1296.71</v>
      </c>
    </row>
    <row r="235" spans="1:65" s="1" customFormat="1" ht="14.45" customHeight="1" x14ac:dyDescent="0.2">
      <c r="A235" s="156"/>
      <c r="B235" s="85"/>
      <c r="C235" s="86" t="s">
        <v>131</v>
      </c>
      <c r="D235" s="86" t="s">
        <v>78</v>
      </c>
      <c r="E235" s="87" t="s">
        <v>166</v>
      </c>
      <c r="F235" s="88" t="s">
        <v>167</v>
      </c>
      <c r="G235" s="89" t="s">
        <v>81</v>
      </c>
      <c r="H235" s="90">
        <v>0.39800000000000002</v>
      </c>
      <c r="I235" s="91">
        <v>1200.17173250368</v>
      </c>
      <c r="J235" s="92">
        <f>ROUND(I235*H235,2)</f>
        <v>477.67</v>
      </c>
      <c r="K235" s="88" t="s">
        <v>82</v>
      </c>
      <c r="L235" s="16"/>
      <c r="M235" s="93" t="s">
        <v>0</v>
      </c>
      <c r="N235" s="94" t="s">
        <v>27</v>
      </c>
      <c r="O235" s="27"/>
      <c r="P235" s="95">
        <f>O235*H235</f>
        <v>0</v>
      </c>
      <c r="Q235" s="95">
        <v>0</v>
      </c>
      <c r="R235" s="95">
        <f>Q235*H235</f>
        <v>0</v>
      </c>
      <c r="S235" s="95">
        <v>0</v>
      </c>
      <c r="T235" s="96">
        <f>S235*H235</f>
        <v>0</v>
      </c>
      <c r="U235" s="156"/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/>
      <c r="AR235" s="97" t="s">
        <v>83</v>
      </c>
      <c r="AT235" s="97" t="s">
        <v>78</v>
      </c>
      <c r="AU235" s="97" t="s">
        <v>47</v>
      </c>
      <c r="AY235" s="10" t="s">
        <v>75</v>
      </c>
      <c r="BE235" s="98">
        <f>IF(N235="základní",J235,0)</f>
        <v>477.67</v>
      </c>
      <c r="BF235" s="98">
        <f>IF(N235="snížená",J235,0)</f>
        <v>0</v>
      </c>
      <c r="BG235" s="98">
        <f>IF(N235="zákl. přenesená",J235,0)</f>
        <v>0</v>
      </c>
      <c r="BH235" s="98">
        <f>IF(N235="sníž. přenesená",J235,0)</f>
        <v>0</v>
      </c>
      <c r="BI235" s="98">
        <f>IF(N235="nulová",J235,0)</f>
        <v>0</v>
      </c>
      <c r="BJ235" s="10" t="s">
        <v>46</v>
      </c>
      <c r="BK235" s="98">
        <f>ROUND(I235*H235,2)</f>
        <v>477.67</v>
      </c>
      <c r="BL235" s="10" t="s">
        <v>83</v>
      </c>
      <c r="BM235" s="97" t="s">
        <v>275</v>
      </c>
    </row>
    <row r="236" spans="1:65" s="1" customFormat="1" ht="19.5" x14ac:dyDescent="0.2">
      <c r="A236" s="156"/>
      <c r="B236" s="16"/>
      <c r="C236" s="156"/>
      <c r="D236" s="99" t="s">
        <v>84</v>
      </c>
      <c r="E236" s="156"/>
      <c r="F236" s="100" t="s">
        <v>168</v>
      </c>
      <c r="G236" s="156"/>
      <c r="H236" s="156"/>
      <c r="I236" s="101"/>
      <c r="J236" s="156"/>
      <c r="K236" s="156"/>
      <c r="L236" s="16"/>
      <c r="M236" s="102"/>
      <c r="N236" s="103"/>
      <c r="O236" s="27"/>
      <c r="P236" s="27"/>
      <c r="Q236" s="27"/>
      <c r="R236" s="27"/>
      <c r="S236" s="27"/>
      <c r="T236" s="28"/>
      <c r="U236" s="156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T236" s="10" t="s">
        <v>84</v>
      </c>
      <c r="AU236" s="10" t="s">
        <v>47</v>
      </c>
    </row>
    <row r="237" spans="1:65" s="1" customFormat="1" ht="29.25" x14ac:dyDescent="0.2">
      <c r="A237" s="156"/>
      <c r="B237" s="16"/>
      <c r="C237" s="156"/>
      <c r="D237" s="99" t="s">
        <v>86</v>
      </c>
      <c r="E237" s="156"/>
      <c r="F237" s="104" t="s">
        <v>217</v>
      </c>
      <c r="G237" s="156"/>
      <c r="H237" s="156"/>
      <c r="I237" s="101"/>
      <c r="J237" s="156"/>
      <c r="K237" s="156"/>
      <c r="L237" s="16"/>
      <c r="M237" s="102"/>
      <c r="N237" s="103"/>
      <c r="O237" s="27"/>
      <c r="P237" s="27"/>
      <c r="Q237" s="27"/>
      <c r="R237" s="27"/>
      <c r="S237" s="27"/>
      <c r="T237" s="28"/>
      <c r="U237" s="156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T237" s="10" t="s">
        <v>86</v>
      </c>
      <c r="AU237" s="10" t="s">
        <v>47</v>
      </c>
    </row>
    <row r="238" spans="1:65" s="7" customFormat="1" x14ac:dyDescent="0.2">
      <c r="B238" s="112"/>
      <c r="D238" s="99" t="s">
        <v>87</v>
      </c>
      <c r="E238" s="113" t="s">
        <v>0</v>
      </c>
      <c r="F238" s="114" t="s">
        <v>506</v>
      </c>
      <c r="H238" s="115">
        <f>3.98*0.1</f>
        <v>0.39800000000000002</v>
      </c>
      <c r="I238" s="116"/>
      <c r="L238" s="112"/>
      <c r="M238" s="117"/>
      <c r="N238" s="118"/>
      <c r="O238" s="118"/>
      <c r="P238" s="118"/>
      <c r="Q238" s="118"/>
      <c r="R238" s="118"/>
      <c r="S238" s="118"/>
      <c r="T238" s="119"/>
      <c r="AT238" s="113" t="s">
        <v>87</v>
      </c>
      <c r="AU238" s="113" t="s">
        <v>47</v>
      </c>
      <c r="AV238" s="7" t="s">
        <v>47</v>
      </c>
      <c r="AW238" s="7" t="s">
        <v>19</v>
      </c>
      <c r="AX238" s="7" t="s">
        <v>46</v>
      </c>
      <c r="AY238" s="113" t="s">
        <v>75</v>
      </c>
    </row>
    <row r="239" spans="1:65" s="1" customFormat="1" ht="14.45" customHeight="1" x14ac:dyDescent="0.2">
      <c r="A239" s="156"/>
      <c r="B239" s="85"/>
      <c r="C239" s="86" t="s">
        <v>143</v>
      </c>
      <c r="D239" s="86" t="s">
        <v>78</v>
      </c>
      <c r="E239" s="87" t="s">
        <v>276</v>
      </c>
      <c r="F239" s="88" t="s">
        <v>277</v>
      </c>
      <c r="G239" s="89" t="s">
        <v>81</v>
      </c>
      <c r="H239" s="90">
        <v>0.2</v>
      </c>
      <c r="I239" s="91">
        <v>1200.17173250368</v>
      </c>
      <c r="J239" s="92">
        <f>ROUND(I239*H239,2)</f>
        <v>240.03</v>
      </c>
      <c r="K239" s="88" t="s">
        <v>0</v>
      </c>
      <c r="L239" s="16"/>
      <c r="M239" s="93" t="s">
        <v>0</v>
      </c>
      <c r="N239" s="94" t="s">
        <v>27</v>
      </c>
      <c r="O239" s="27"/>
      <c r="P239" s="95">
        <f>O239*H239</f>
        <v>0</v>
      </c>
      <c r="Q239" s="95">
        <v>0</v>
      </c>
      <c r="R239" s="95">
        <f>Q239*H239</f>
        <v>0</v>
      </c>
      <c r="S239" s="95">
        <v>0</v>
      </c>
      <c r="T239" s="96">
        <f>S239*H239</f>
        <v>0</v>
      </c>
      <c r="U239" s="156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R239" s="97" t="s">
        <v>83</v>
      </c>
      <c r="AT239" s="97" t="s">
        <v>78</v>
      </c>
      <c r="AU239" s="97" t="s">
        <v>47</v>
      </c>
      <c r="AY239" s="10" t="s">
        <v>75</v>
      </c>
      <c r="BE239" s="98">
        <f>IF(N239="základní",J239,0)</f>
        <v>240.03</v>
      </c>
      <c r="BF239" s="98">
        <f>IF(N239="snížená",J239,0)</f>
        <v>0</v>
      </c>
      <c r="BG239" s="98">
        <f>IF(N239="zákl. přenesená",J239,0)</f>
        <v>0</v>
      </c>
      <c r="BH239" s="98">
        <f>IF(N239="sníž. přenesená",J239,0)</f>
        <v>0</v>
      </c>
      <c r="BI239" s="98">
        <f>IF(N239="nulová",J239,0)</f>
        <v>0</v>
      </c>
      <c r="BJ239" s="10" t="s">
        <v>46</v>
      </c>
      <c r="BK239" s="98">
        <f>ROUND(I239*H239,2)</f>
        <v>240.03</v>
      </c>
      <c r="BL239" s="10" t="s">
        <v>83</v>
      </c>
      <c r="BM239" s="97" t="s">
        <v>278</v>
      </c>
    </row>
    <row r="240" spans="1:65" s="1" customFormat="1" ht="19.5" x14ac:dyDescent="0.2">
      <c r="A240" s="156"/>
      <c r="B240" s="16"/>
      <c r="C240" s="156"/>
      <c r="D240" s="99" t="s">
        <v>84</v>
      </c>
      <c r="E240" s="156"/>
      <c r="F240" s="100" t="s">
        <v>168</v>
      </c>
      <c r="G240" s="156"/>
      <c r="H240" s="156"/>
      <c r="I240" s="101"/>
      <c r="J240" s="156"/>
      <c r="K240" s="156"/>
      <c r="L240" s="16"/>
      <c r="M240" s="102"/>
      <c r="N240" s="103"/>
      <c r="O240" s="27"/>
      <c r="P240" s="27"/>
      <c r="Q240" s="27"/>
      <c r="R240" s="27"/>
      <c r="S240" s="27"/>
      <c r="T240" s="28"/>
      <c r="U240" s="156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T240" s="10" t="s">
        <v>84</v>
      </c>
      <c r="AU240" s="10" t="s">
        <v>47</v>
      </c>
    </row>
    <row r="241" spans="1:65" s="1" customFormat="1" ht="29.25" x14ac:dyDescent="0.2">
      <c r="A241" s="156"/>
      <c r="B241" s="16"/>
      <c r="C241" s="156"/>
      <c r="D241" s="99" t="s">
        <v>86</v>
      </c>
      <c r="E241" s="156"/>
      <c r="F241" s="104" t="s">
        <v>217</v>
      </c>
      <c r="G241" s="156"/>
      <c r="H241" s="156"/>
      <c r="I241" s="101"/>
      <c r="J241" s="156"/>
      <c r="K241" s="156"/>
      <c r="L241" s="16"/>
      <c r="M241" s="102"/>
      <c r="N241" s="103"/>
      <c r="O241" s="27"/>
      <c r="P241" s="27"/>
      <c r="Q241" s="27"/>
      <c r="R241" s="27"/>
      <c r="S241" s="27"/>
      <c r="T241" s="28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T241" s="10" t="s">
        <v>86</v>
      </c>
      <c r="AU241" s="10" t="s">
        <v>47</v>
      </c>
    </row>
    <row r="242" spans="1:65" s="6" customFormat="1" x14ac:dyDescent="0.2">
      <c r="B242" s="105"/>
      <c r="D242" s="99" t="s">
        <v>87</v>
      </c>
      <c r="E242" s="106" t="s">
        <v>0</v>
      </c>
      <c r="F242" s="107" t="s">
        <v>279</v>
      </c>
      <c r="H242" s="106" t="s">
        <v>0</v>
      </c>
      <c r="I242" s="108"/>
      <c r="L242" s="105"/>
      <c r="M242" s="109"/>
      <c r="N242" s="110"/>
      <c r="O242" s="110"/>
      <c r="P242" s="110"/>
      <c r="Q242" s="110"/>
      <c r="R242" s="110"/>
      <c r="S242" s="110"/>
      <c r="T242" s="111"/>
      <c r="AT242" s="106" t="s">
        <v>87</v>
      </c>
      <c r="AU242" s="106" t="s">
        <v>47</v>
      </c>
      <c r="AV242" s="6" t="s">
        <v>46</v>
      </c>
      <c r="AW242" s="6" t="s">
        <v>19</v>
      </c>
      <c r="AX242" s="6" t="s">
        <v>45</v>
      </c>
      <c r="AY242" s="106" t="s">
        <v>75</v>
      </c>
    </row>
    <row r="243" spans="1:65" s="7" customFormat="1" x14ac:dyDescent="0.2">
      <c r="B243" s="112"/>
      <c r="D243" s="99" t="s">
        <v>87</v>
      </c>
      <c r="E243" s="113" t="s">
        <v>0</v>
      </c>
      <c r="F243" s="114" t="s">
        <v>411</v>
      </c>
      <c r="H243" s="115">
        <f>2*0.1</f>
        <v>0.2</v>
      </c>
      <c r="I243" s="116"/>
      <c r="L243" s="112"/>
      <c r="M243" s="117"/>
      <c r="N243" s="118"/>
      <c r="O243" s="118"/>
      <c r="P243" s="118"/>
      <c r="Q243" s="118"/>
      <c r="R243" s="118"/>
      <c r="S243" s="118"/>
      <c r="T243" s="119"/>
      <c r="AT243" s="113" t="s">
        <v>87</v>
      </c>
      <c r="AU243" s="113" t="s">
        <v>47</v>
      </c>
      <c r="AV243" s="7" t="s">
        <v>47</v>
      </c>
      <c r="AW243" s="7" t="s">
        <v>19</v>
      </c>
      <c r="AX243" s="7" t="s">
        <v>46</v>
      </c>
      <c r="AY243" s="113" t="s">
        <v>75</v>
      </c>
    </row>
    <row r="244" spans="1:65" s="1" customFormat="1" ht="24.2" customHeight="1" x14ac:dyDescent="0.2">
      <c r="A244" s="156"/>
      <c r="B244" s="85"/>
      <c r="C244" s="86" t="s">
        <v>138</v>
      </c>
      <c r="D244" s="86" t="s">
        <v>78</v>
      </c>
      <c r="E244" s="87" t="s">
        <v>283</v>
      </c>
      <c r="F244" s="88" t="s">
        <v>284</v>
      </c>
      <c r="G244" s="89" t="s">
        <v>81</v>
      </c>
      <c r="H244" s="90">
        <v>0.2</v>
      </c>
      <c r="I244" s="91">
        <v>2895.0660868876225</v>
      </c>
      <c r="J244" s="92">
        <f>ROUND(I244*H244,2)</f>
        <v>579.01</v>
      </c>
      <c r="K244" s="88" t="s">
        <v>82</v>
      </c>
      <c r="L244" s="16"/>
      <c r="M244" s="93" t="s">
        <v>0</v>
      </c>
      <c r="N244" s="94" t="s">
        <v>27</v>
      </c>
      <c r="O244" s="27"/>
      <c r="P244" s="95">
        <f>O244*H244</f>
        <v>0</v>
      </c>
      <c r="Q244" s="95">
        <v>0</v>
      </c>
      <c r="R244" s="95">
        <f>Q244*H244</f>
        <v>0</v>
      </c>
      <c r="S244" s="95">
        <v>0</v>
      </c>
      <c r="T244" s="96">
        <f>S244*H244</f>
        <v>0</v>
      </c>
      <c r="U244" s="156"/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/>
      <c r="AR244" s="97" t="s">
        <v>83</v>
      </c>
      <c r="AT244" s="97" t="s">
        <v>78</v>
      </c>
      <c r="AU244" s="97" t="s">
        <v>47</v>
      </c>
      <c r="AY244" s="10" t="s">
        <v>75</v>
      </c>
      <c r="BE244" s="98">
        <f>IF(N244="základní",J244,0)</f>
        <v>579.01</v>
      </c>
      <c r="BF244" s="98">
        <f>IF(N244="snížená",J244,0)</f>
        <v>0</v>
      </c>
      <c r="BG244" s="98">
        <f>IF(N244="zákl. přenesená",J244,0)</f>
        <v>0</v>
      </c>
      <c r="BH244" s="98">
        <f>IF(N244="sníž. přenesená",J244,0)</f>
        <v>0</v>
      </c>
      <c r="BI244" s="98">
        <f>IF(N244="nulová",J244,0)</f>
        <v>0</v>
      </c>
      <c r="BJ244" s="10" t="s">
        <v>46</v>
      </c>
      <c r="BK244" s="98">
        <f>ROUND(I244*H244,2)</f>
        <v>579.01</v>
      </c>
      <c r="BL244" s="10" t="s">
        <v>83</v>
      </c>
      <c r="BM244" s="97" t="s">
        <v>285</v>
      </c>
    </row>
    <row r="245" spans="1:65" s="1" customFormat="1" ht="29.25" x14ac:dyDescent="0.2">
      <c r="A245" s="156"/>
      <c r="B245" s="16"/>
      <c r="C245" s="156"/>
      <c r="D245" s="99" t="s">
        <v>84</v>
      </c>
      <c r="E245" s="156"/>
      <c r="F245" s="100" t="s">
        <v>286</v>
      </c>
      <c r="G245" s="156"/>
      <c r="H245" s="156"/>
      <c r="I245" s="101"/>
      <c r="J245" s="156"/>
      <c r="K245" s="156"/>
      <c r="L245" s="16"/>
      <c r="M245" s="102"/>
      <c r="N245" s="103"/>
      <c r="O245" s="27"/>
      <c r="P245" s="27"/>
      <c r="Q245" s="27"/>
      <c r="R245" s="27"/>
      <c r="S245" s="27"/>
      <c r="T245" s="28"/>
      <c r="U245" s="156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T245" s="10" t="s">
        <v>84</v>
      </c>
      <c r="AU245" s="10" t="s">
        <v>47</v>
      </c>
    </row>
    <row r="246" spans="1:65" s="1" customFormat="1" ht="29.25" x14ac:dyDescent="0.2">
      <c r="A246" s="156"/>
      <c r="B246" s="16"/>
      <c r="C246" s="156"/>
      <c r="D246" s="99" t="s">
        <v>86</v>
      </c>
      <c r="E246" s="156"/>
      <c r="F246" s="104" t="s">
        <v>217</v>
      </c>
      <c r="G246" s="156"/>
      <c r="H246" s="156"/>
      <c r="I246" s="101"/>
      <c r="J246" s="156"/>
      <c r="K246" s="156"/>
      <c r="L246" s="16"/>
      <c r="M246" s="102"/>
      <c r="N246" s="103"/>
      <c r="O246" s="27"/>
      <c r="P246" s="27"/>
      <c r="Q246" s="27"/>
      <c r="R246" s="27"/>
      <c r="S246" s="27"/>
      <c r="T246" s="28"/>
      <c r="U246" s="156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T246" s="10" t="s">
        <v>86</v>
      </c>
      <c r="AU246" s="10" t="s">
        <v>47</v>
      </c>
    </row>
    <row r="247" spans="1:65" s="6" customFormat="1" x14ac:dyDescent="0.2">
      <c r="B247" s="105"/>
      <c r="D247" s="99" t="s">
        <v>87</v>
      </c>
      <c r="E247" s="106" t="s">
        <v>0</v>
      </c>
      <c r="F247" s="107" t="s">
        <v>279</v>
      </c>
      <c r="H247" s="106" t="s">
        <v>0</v>
      </c>
      <c r="I247" s="108"/>
      <c r="L247" s="105"/>
      <c r="M247" s="109"/>
      <c r="N247" s="110"/>
      <c r="O247" s="110"/>
      <c r="P247" s="110"/>
      <c r="Q247" s="110"/>
      <c r="R247" s="110"/>
      <c r="S247" s="110"/>
      <c r="T247" s="111"/>
      <c r="AT247" s="106" t="s">
        <v>87</v>
      </c>
      <c r="AU247" s="106" t="s">
        <v>47</v>
      </c>
      <c r="AV247" s="6" t="s">
        <v>46</v>
      </c>
      <c r="AW247" s="6" t="s">
        <v>19</v>
      </c>
      <c r="AX247" s="6" t="s">
        <v>45</v>
      </c>
      <c r="AY247" s="106" t="s">
        <v>75</v>
      </c>
    </row>
    <row r="248" spans="1:65" s="7" customFormat="1" x14ac:dyDescent="0.2">
      <c r="B248" s="112"/>
      <c r="D248" s="99" t="s">
        <v>87</v>
      </c>
      <c r="E248" s="113" t="s">
        <v>0</v>
      </c>
      <c r="F248" s="114" t="s">
        <v>411</v>
      </c>
      <c r="H248" s="115">
        <f>2*0.1</f>
        <v>0.2</v>
      </c>
      <c r="I248" s="116"/>
      <c r="L248" s="112"/>
      <c r="M248" s="117"/>
      <c r="N248" s="118"/>
      <c r="O248" s="118"/>
      <c r="P248" s="118"/>
      <c r="Q248" s="118"/>
      <c r="R248" s="118"/>
      <c r="S248" s="118"/>
      <c r="T248" s="119"/>
      <c r="AT248" s="113" t="s">
        <v>87</v>
      </c>
      <c r="AU248" s="113" t="s">
        <v>47</v>
      </c>
      <c r="AV248" s="7" t="s">
        <v>47</v>
      </c>
      <c r="AW248" s="7" t="s">
        <v>19</v>
      </c>
      <c r="AX248" s="7" t="s">
        <v>46</v>
      </c>
      <c r="AY248" s="113" t="s">
        <v>75</v>
      </c>
    </row>
    <row r="249" spans="1:65" s="5" customFormat="1" ht="22.9" customHeight="1" x14ac:dyDescent="0.2">
      <c r="B249" s="72"/>
      <c r="D249" s="73" t="s">
        <v>44</v>
      </c>
      <c r="E249" s="83" t="s">
        <v>223</v>
      </c>
      <c r="F249" s="83" t="s">
        <v>288</v>
      </c>
      <c r="I249" s="75"/>
      <c r="J249" s="84">
        <f>BK249</f>
        <v>2631.7799999999997</v>
      </c>
      <c r="L249" s="72"/>
      <c r="M249" s="77"/>
      <c r="N249" s="78"/>
      <c r="O249" s="78"/>
      <c r="P249" s="79">
        <f>SUM(P250:P260)</f>
        <v>0</v>
      </c>
      <c r="Q249" s="78"/>
      <c r="R249" s="79">
        <f>SUM(R250:R260)</f>
        <v>0</v>
      </c>
      <c r="S249" s="78"/>
      <c r="T249" s="80">
        <f>SUM(T250:T260)</f>
        <v>0</v>
      </c>
      <c r="AR249" s="73" t="s">
        <v>46</v>
      </c>
      <c r="AT249" s="81" t="s">
        <v>44</v>
      </c>
      <c r="AU249" s="81" t="s">
        <v>46</v>
      </c>
      <c r="AY249" s="73" t="s">
        <v>75</v>
      </c>
      <c r="BK249" s="82">
        <f>SUM(BK250:BK260)</f>
        <v>2631.7799999999997</v>
      </c>
    </row>
    <row r="250" spans="1:65" s="1" customFormat="1" ht="24.2" customHeight="1" x14ac:dyDescent="0.2">
      <c r="A250" s="156"/>
      <c r="B250" s="85"/>
      <c r="C250" s="86" t="s">
        <v>289</v>
      </c>
      <c r="D250" s="86" t="s">
        <v>78</v>
      </c>
      <c r="E250" s="87" t="s">
        <v>170</v>
      </c>
      <c r="F250" s="88" t="s">
        <v>171</v>
      </c>
      <c r="G250" s="89" t="s">
        <v>100</v>
      </c>
      <c r="H250" s="90">
        <v>3.5819999999999999</v>
      </c>
      <c r="I250" s="91">
        <v>130.95617506780872</v>
      </c>
      <c r="J250" s="92">
        <f>ROUND(I250*H250,2)</f>
        <v>469.09</v>
      </c>
      <c r="K250" s="88" t="s">
        <v>82</v>
      </c>
      <c r="L250" s="16"/>
      <c r="M250" s="93" t="s">
        <v>0</v>
      </c>
      <c r="N250" s="94" t="s">
        <v>27</v>
      </c>
      <c r="O250" s="27"/>
      <c r="P250" s="95">
        <f>O250*H250</f>
        <v>0</v>
      </c>
      <c r="Q250" s="95">
        <v>0</v>
      </c>
      <c r="R250" s="95">
        <f>Q250*H250</f>
        <v>0</v>
      </c>
      <c r="S250" s="95">
        <v>0</v>
      </c>
      <c r="T250" s="96">
        <f>S250*H250</f>
        <v>0</v>
      </c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R250" s="97" t="s">
        <v>83</v>
      </c>
      <c r="AT250" s="97" t="s">
        <v>78</v>
      </c>
      <c r="AU250" s="97" t="s">
        <v>47</v>
      </c>
      <c r="AY250" s="10" t="s">
        <v>75</v>
      </c>
      <c r="BE250" s="98">
        <f>IF(N250="základní",J250,0)</f>
        <v>469.09</v>
      </c>
      <c r="BF250" s="98">
        <f>IF(N250="snížená",J250,0)</f>
        <v>0</v>
      </c>
      <c r="BG250" s="98">
        <f>IF(N250="zákl. přenesená",J250,0)</f>
        <v>0</v>
      </c>
      <c r="BH250" s="98">
        <f>IF(N250="sníž. přenesená",J250,0)</f>
        <v>0</v>
      </c>
      <c r="BI250" s="98">
        <f>IF(N250="nulová",J250,0)</f>
        <v>0</v>
      </c>
      <c r="BJ250" s="10" t="s">
        <v>46</v>
      </c>
      <c r="BK250" s="98">
        <f>ROUND(I250*H250,2)</f>
        <v>469.09</v>
      </c>
      <c r="BL250" s="10" t="s">
        <v>83</v>
      </c>
      <c r="BM250" s="97" t="s">
        <v>290</v>
      </c>
    </row>
    <row r="251" spans="1:65" s="1" customFormat="1" ht="19.5" x14ac:dyDescent="0.2">
      <c r="A251" s="156"/>
      <c r="B251" s="16"/>
      <c r="C251" s="156"/>
      <c r="D251" s="99" t="s">
        <v>84</v>
      </c>
      <c r="E251" s="156"/>
      <c r="F251" s="100" t="s">
        <v>172</v>
      </c>
      <c r="G251" s="156"/>
      <c r="H251" s="156"/>
      <c r="I251" s="101"/>
      <c r="J251" s="156"/>
      <c r="K251" s="156"/>
      <c r="L251" s="16"/>
      <c r="M251" s="102"/>
      <c r="N251" s="103"/>
      <c r="O251" s="27"/>
      <c r="P251" s="27"/>
      <c r="Q251" s="27"/>
      <c r="R251" s="27"/>
      <c r="S251" s="27"/>
      <c r="T251" s="28"/>
      <c r="U251" s="156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  <c r="AT251" s="10" t="s">
        <v>84</v>
      </c>
      <c r="AU251" s="10" t="s">
        <v>47</v>
      </c>
    </row>
    <row r="252" spans="1:65" s="1" customFormat="1" ht="14.45" customHeight="1" x14ac:dyDescent="0.2">
      <c r="A252" s="156"/>
      <c r="B252" s="85"/>
      <c r="C252" s="86" t="s">
        <v>165</v>
      </c>
      <c r="D252" s="86" t="s">
        <v>78</v>
      </c>
      <c r="E252" s="87" t="s">
        <v>174</v>
      </c>
      <c r="F252" s="88" t="s">
        <v>175</v>
      </c>
      <c r="G252" s="89" t="s">
        <v>100</v>
      </c>
      <c r="H252" s="90">
        <v>3.5819999999999999</v>
      </c>
      <c r="I252" s="91">
        <v>200.20823792465458</v>
      </c>
      <c r="J252" s="92">
        <f>ROUND(I252*H252,2)</f>
        <v>717.15</v>
      </c>
      <c r="K252" s="88" t="s">
        <v>82</v>
      </c>
      <c r="L252" s="16"/>
      <c r="M252" s="93" t="s">
        <v>0</v>
      </c>
      <c r="N252" s="94" t="s">
        <v>27</v>
      </c>
      <c r="O252" s="27"/>
      <c r="P252" s="95">
        <f>O252*H252</f>
        <v>0</v>
      </c>
      <c r="Q252" s="95">
        <v>0</v>
      </c>
      <c r="R252" s="95">
        <f>Q252*H252</f>
        <v>0</v>
      </c>
      <c r="S252" s="95">
        <v>0</v>
      </c>
      <c r="T252" s="96">
        <f>S252*H252</f>
        <v>0</v>
      </c>
      <c r="U252" s="156"/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/>
      <c r="AR252" s="97" t="s">
        <v>83</v>
      </c>
      <c r="AT252" s="97" t="s">
        <v>78</v>
      </c>
      <c r="AU252" s="97" t="s">
        <v>47</v>
      </c>
      <c r="AY252" s="10" t="s">
        <v>75</v>
      </c>
      <c r="BE252" s="98">
        <f>IF(N252="základní",J252,0)</f>
        <v>717.15</v>
      </c>
      <c r="BF252" s="98">
        <f>IF(N252="snížená",J252,0)</f>
        <v>0</v>
      </c>
      <c r="BG252" s="98">
        <f>IF(N252="zákl. přenesená",J252,0)</f>
        <v>0</v>
      </c>
      <c r="BH252" s="98">
        <f>IF(N252="sníž. přenesená",J252,0)</f>
        <v>0</v>
      </c>
      <c r="BI252" s="98">
        <f>IF(N252="nulová",J252,0)</f>
        <v>0</v>
      </c>
      <c r="BJ252" s="10" t="s">
        <v>46</v>
      </c>
      <c r="BK252" s="98">
        <f>ROUND(I252*H252,2)</f>
        <v>717.15</v>
      </c>
      <c r="BL252" s="10" t="s">
        <v>83</v>
      </c>
      <c r="BM252" s="97" t="s">
        <v>291</v>
      </c>
    </row>
    <row r="253" spans="1:65" s="1" customFormat="1" ht="19.5" x14ac:dyDescent="0.2">
      <c r="A253" s="156"/>
      <c r="B253" s="16"/>
      <c r="C253" s="156"/>
      <c r="D253" s="99" t="s">
        <v>84</v>
      </c>
      <c r="E253" s="156"/>
      <c r="F253" s="100" t="s">
        <v>176</v>
      </c>
      <c r="G253" s="156"/>
      <c r="H253" s="156"/>
      <c r="I253" s="101"/>
      <c r="J253" s="156"/>
      <c r="K253" s="156"/>
      <c r="L253" s="16"/>
      <c r="M253" s="102"/>
      <c r="N253" s="103"/>
      <c r="O253" s="27"/>
      <c r="P253" s="27"/>
      <c r="Q253" s="27"/>
      <c r="R253" s="27"/>
      <c r="S253" s="27"/>
      <c r="T253" s="28"/>
      <c r="U253" s="156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T253" s="10" t="s">
        <v>84</v>
      </c>
      <c r="AU253" s="10" t="s">
        <v>47</v>
      </c>
    </row>
    <row r="254" spans="1:65" s="1" customFormat="1" ht="24.2" customHeight="1" x14ac:dyDescent="0.2">
      <c r="A254" s="156"/>
      <c r="B254" s="85"/>
      <c r="C254" s="86" t="s">
        <v>292</v>
      </c>
      <c r="D254" s="86" t="s">
        <v>78</v>
      </c>
      <c r="E254" s="87" t="s">
        <v>293</v>
      </c>
      <c r="F254" s="88" t="s">
        <v>294</v>
      </c>
      <c r="G254" s="89" t="s">
        <v>100</v>
      </c>
      <c r="H254" s="90">
        <v>3.5819999999999999</v>
      </c>
      <c r="I254" s="91">
        <v>40.878739778868102</v>
      </c>
      <c r="J254" s="92">
        <f>ROUND(I254*H254,2)</f>
        <v>146.43</v>
      </c>
      <c r="K254" s="88" t="s">
        <v>82</v>
      </c>
      <c r="L254" s="16"/>
      <c r="M254" s="93" t="s">
        <v>0</v>
      </c>
      <c r="N254" s="94" t="s">
        <v>27</v>
      </c>
      <c r="O254" s="27"/>
      <c r="P254" s="95">
        <f>O254*H254</f>
        <v>0</v>
      </c>
      <c r="Q254" s="95">
        <v>0</v>
      </c>
      <c r="R254" s="95">
        <f>Q254*H254</f>
        <v>0</v>
      </c>
      <c r="S254" s="95">
        <v>0</v>
      </c>
      <c r="T254" s="96">
        <f>S254*H254</f>
        <v>0</v>
      </c>
      <c r="U254" s="156"/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/>
      <c r="AR254" s="97" t="s">
        <v>83</v>
      </c>
      <c r="AT254" s="97" t="s">
        <v>78</v>
      </c>
      <c r="AU254" s="97" t="s">
        <v>47</v>
      </c>
      <c r="AY254" s="10" t="s">
        <v>75</v>
      </c>
      <c r="BE254" s="98">
        <f>IF(N254="základní",J254,0)</f>
        <v>146.43</v>
      </c>
      <c r="BF254" s="98">
        <f>IF(N254="snížená",J254,0)</f>
        <v>0</v>
      </c>
      <c r="BG254" s="98">
        <f>IF(N254="zákl. přenesená",J254,0)</f>
        <v>0</v>
      </c>
      <c r="BH254" s="98">
        <f>IF(N254="sníž. přenesená",J254,0)</f>
        <v>0</v>
      </c>
      <c r="BI254" s="98">
        <f>IF(N254="nulová",J254,0)</f>
        <v>0</v>
      </c>
      <c r="BJ254" s="10" t="s">
        <v>46</v>
      </c>
      <c r="BK254" s="98">
        <f>ROUND(I254*H254,2)</f>
        <v>146.43</v>
      </c>
      <c r="BL254" s="10" t="s">
        <v>83</v>
      </c>
      <c r="BM254" s="97" t="s">
        <v>295</v>
      </c>
    </row>
    <row r="255" spans="1:65" s="1" customFormat="1" ht="19.5" x14ac:dyDescent="0.2">
      <c r="A255" s="156"/>
      <c r="B255" s="16"/>
      <c r="C255" s="156"/>
      <c r="D255" s="99" t="s">
        <v>84</v>
      </c>
      <c r="E255" s="156"/>
      <c r="F255" s="100" t="s">
        <v>296</v>
      </c>
      <c r="G255" s="156"/>
      <c r="H255" s="156"/>
      <c r="I255" s="101"/>
      <c r="J255" s="156"/>
      <c r="K255" s="156"/>
      <c r="L255" s="16"/>
      <c r="M255" s="102"/>
      <c r="N255" s="103"/>
      <c r="O255" s="27"/>
      <c r="P255" s="27"/>
      <c r="Q255" s="27"/>
      <c r="R255" s="27"/>
      <c r="S255" s="27"/>
      <c r="T255" s="28"/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T255" s="10" t="s">
        <v>84</v>
      </c>
      <c r="AU255" s="10" t="s">
        <v>47</v>
      </c>
    </row>
    <row r="256" spans="1:65" s="1" customFormat="1" ht="24.2" customHeight="1" x14ac:dyDescent="0.2">
      <c r="A256" s="156"/>
      <c r="B256" s="85"/>
      <c r="C256" s="86" t="s">
        <v>297</v>
      </c>
      <c r="D256" s="86" t="s">
        <v>78</v>
      </c>
      <c r="E256" s="87" t="s">
        <v>178</v>
      </c>
      <c r="F256" s="88" t="s">
        <v>179</v>
      </c>
      <c r="G256" s="89" t="s">
        <v>100</v>
      </c>
      <c r="H256" s="90">
        <v>3.5819999999999999</v>
      </c>
      <c r="I256" s="91">
        <v>362.67856108310502</v>
      </c>
      <c r="J256" s="92">
        <f>ROUND(I256*H256,2)</f>
        <v>1299.1099999999999</v>
      </c>
      <c r="K256" s="88" t="s">
        <v>82</v>
      </c>
      <c r="L256" s="16"/>
      <c r="M256" s="93" t="s">
        <v>0</v>
      </c>
      <c r="N256" s="94" t="s">
        <v>27</v>
      </c>
      <c r="O256" s="27"/>
      <c r="P256" s="95">
        <f>O256*H256</f>
        <v>0</v>
      </c>
      <c r="Q256" s="95">
        <v>0</v>
      </c>
      <c r="R256" s="95">
        <f>Q256*H256</f>
        <v>0</v>
      </c>
      <c r="S256" s="95">
        <v>0</v>
      </c>
      <c r="T256" s="96">
        <f>S256*H256</f>
        <v>0</v>
      </c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R256" s="97" t="s">
        <v>83</v>
      </c>
      <c r="AT256" s="97" t="s">
        <v>78</v>
      </c>
      <c r="AU256" s="97" t="s">
        <v>47</v>
      </c>
      <c r="AY256" s="10" t="s">
        <v>75</v>
      </c>
      <c r="BE256" s="98">
        <f>IF(N256="základní",J256,0)</f>
        <v>1299.1099999999999</v>
      </c>
      <c r="BF256" s="98">
        <f>IF(N256="snížená",J256,0)</f>
        <v>0</v>
      </c>
      <c r="BG256" s="98">
        <f>IF(N256="zákl. přenesená",J256,0)</f>
        <v>0</v>
      </c>
      <c r="BH256" s="98">
        <f>IF(N256="sníž. přenesená",J256,0)</f>
        <v>0</v>
      </c>
      <c r="BI256" s="98">
        <f>IF(N256="nulová",J256,0)</f>
        <v>0</v>
      </c>
      <c r="BJ256" s="10" t="s">
        <v>46</v>
      </c>
      <c r="BK256" s="98">
        <f>ROUND(I256*H256,2)</f>
        <v>1299.1099999999999</v>
      </c>
      <c r="BL256" s="10" t="s">
        <v>83</v>
      </c>
      <c r="BM256" s="97" t="s">
        <v>298</v>
      </c>
    </row>
    <row r="257" spans="1:65" s="1" customFormat="1" ht="29.25" x14ac:dyDescent="0.2">
      <c r="A257" s="156"/>
      <c r="B257" s="16"/>
      <c r="C257" s="156"/>
      <c r="D257" s="99" t="s">
        <v>84</v>
      </c>
      <c r="E257" s="156"/>
      <c r="F257" s="100" t="s">
        <v>180</v>
      </c>
      <c r="G257" s="156"/>
      <c r="H257" s="156"/>
      <c r="I257" s="101"/>
      <c r="J257" s="156"/>
      <c r="K257" s="156"/>
      <c r="L257" s="16"/>
      <c r="M257" s="102"/>
      <c r="N257" s="103"/>
      <c r="O257" s="27"/>
      <c r="P257" s="27"/>
      <c r="Q257" s="27"/>
      <c r="R257" s="27"/>
      <c r="S257" s="27"/>
      <c r="T257" s="28"/>
      <c r="U257" s="156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T257" s="10" t="s">
        <v>84</v>
      </c>
      <c r="AU257" s="10" t="s">
        <v>47</v>
      </c>
    </row>
    <row r="258" spans="1:65" s="1" customFormat="1" ht="29.25" x14ac:dyDescent="0.2">
      <c r="A258" s="156"/>
      <c r="B258" s="16"/>
      <c r="C258" s="156"/>
      <c r="D258" s="99" t="s">
        <v>86</v>
      </c>
      <c r="E258" s="156"/>
      <c r="F258" s="104" t="s">
        <v>217</v>
      </c>
      <c r="G258" s="156"/>
      <c r="H258" s="156"/>
      <c r="I258" s="101"/>
      <c r="J258" s="156"/>
      <c r="K258" s="156"/>
      <c r="L258" s="16"/>
      <c r="M258" s="102"/>
      <c r="N258" s="103"/>
      <c r="O258" s="27"/>
      <c r="P258" s="27"/>
      <c r="Q258" s="27"/>
      <c r="R258" s="27"/>
      <c r="S258" s="27"/>
      <c r="T258" s="28"/>
      <c r="U258" s="156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T258" s="10" t="s">
        <v>86</v>
      </c>
      <c r="AU258" s="10" t="s">
        <v>47</v>
      </c>
    </row>
    <row r="259" spans="1:65" s="6" customFormat="1" ht="22.5" x14ac:dyDescent="0.2">
      <c r="B259" s="105"/>
      <c r="D259" s="99" t="s">
        <v>87</v>
      </c>
      <c r="E259" s="106" t="s">
        <v>0</v>
      </c>
      <c r="F259" s="107" t="s">
        <v>299</v>
      </c>
      <c r="H259" s="106" t="s">
        <v>0</v>
      </c>
      <c r="I259" s="108"/>
      <c r="L259" s="105"/>
      <c r="M259" s="109"/>
      <c r="N259" s="110"/>
      <c r="O259" s="110"/>
      <c r="P259" s="110"/>
      <c r="Q259" s="110"/>
      <c r="R259" s="110"/>
      <c r="S259" s="110"/>
      <c r="T259" s="111"/>
      <c r="AT259" s="106" t="s">
        <v>87</v>
      </c>
      <c r="AU259" s="106" t="s">
        <v>47</v>
      </c>
      <c r="AV259" s="6" t="s">
        <v>46</v>
      </c>
      <c r="AW259" s="6" t="s">
        <v>19</v>
      </c>
      <c r="AX259" s="6" t="s">
        <v>45</v>
      </c>
      <c r="AY259" s="106" t="s">
        <v>75</v>
      </c>
    </row>
    <row r="260" spans="1:65" s="7" customFormat="1" x14ac:dyDescent="0.2">
      <c r="B260" s="112"/>
      <c r="D260" s="99" t="s">
        <v>87</v>
      </c>
      <c r="E260" s="113" t="s">
        <v>0</v>
      </c>
      <c r="F260" s="114">
        <v>3.5819999999999999</v>
      </c>
      <c r="H260" s="115">
        <v>3.5819999999999999</v>
      </c>
      <c r="I260" s="116"/>
      <c r="L260" s="112"/>
      <c r="M260" s="117"/>
      <c r="N260" s="118"/>
      <c r="O260" s="118"/>
      <c r="P260" s="118"/>
      <c r="Q260" s="118"/>
      <c r="R260" s="118"/>
      <c r="S260" s="118"/>
      <c r="T260" s="119"/>
      <c r="AT260" s="113" t="s">
        <v>87</v>
      </c>
      <c r="AU260" s="113" t="s">
        <v>47</v>
      </c>
      <c r="AV260" s="7" t="s">
        <v>47</v>
      </c>
      <c r="AW260" s="7" t="s">
        <v>19</v>
      </c>
      <c r="AX260" s="7" t="s">
        <v>46</v>
      </c>
      <c r="AY260" s="113" t="s">
        <v>75</v>
      </c>
    </row>
    <row r="261" spans="1:65" s="5" customFormat="1" ht="17.25" customHeight="1" x14ac:dyDescent="0.2">
      <c r="B261" s="72"/>
      <c r="D261" s="73" t="s">
        <v>44</v>
      </c>
      <c r="E261" s="83" t="s">
        <v>129</v>
      </c>
      <c r="F261" s="83" t="s">
        <v>300</v>
      </c>
      <c r="I261" s="75"/>
      <c r="J261" s="84">
        <f>BK261</f>
        <v>24197.29</v>
      </c>
      <c r="L261" s="72"/>
      <c r="M261" s="77"/>
      <c r="N261" s="78"/>
      <c r="O261" s="78"/>
      <c r="P261" s="79">
        <f>SUM(P262:P295)</f>
        <v>0</v>
      </c>
      <c r="Q261" s="78"/>
      <c r="R261" s="79">
        <f>SUM(R262:R295)</f>
        <v>0.28027560000000001</v>
      </c>
      <c r="S261" s="78"/>
      <c r="T261" s="80">
        <f>SUM(T262:T295)</f>
        <v>0</v>
      </c>
      <c r="AR261" s="73" t="s">
        <v>46</v>
      </c>
      <c r="AT261" s="81" t="s">
        <v>44</v>
      </c>
      <c r="AU261" s="81" t="s">
        <v>46</v>
      </c>
      <c r="AY261" s="73" t="s">
        <v>75</v>
      </c>
      <c r="BK261" s="82">
        <f>SUM(BK262:BK295)</f>
        <v>24197.29</v>
      </c>
    </row>
    <row r="262" spans="1:65" s="1" customFormat="1" ht="24.2" customHeight="1" x14ac:dyDescent="0.2">
      <c r="A262" s="156"/>
      <c r="B262" s="85"/>
      <c r="C262" s="86" t="s">
        <v>301</v>
      </c>
      <c r="D262" s="86" t="s">
        <v>78</v>
      </c>
      <c r="E262" s="87" t="s">
        <v>302</v>
      </c>
      <c r="F262" s="88" t="s">
        <v>303</v>
      </c>
      <c r="G262" s="89" t="s">
        <v>270</v>
      </c>
      <c r="H262" s="90">
        <v>3.98</v>
      </c>
      <c r="I262" s="91">
        <v>617.16852473597498</v>
      </c>
      <c r="J262" s="92">
        <f>ROUND(I262*H262,2)</f>
        <v>2456.33</v>
      </c>
      <c r="K262" s="88" t="s">
        <v>82</v>
      </c>
      <c r="L262" s="16"/>
      <c r="M262" s="93" t="s">
        <v>0</v>
      </c>
      <c r="N262" s="94" t="s">
        <v>27</v>
      </c>
      <c r="O262" s="27"/>
      <c r="P262" s="95">
        <f>O262*H262</f>
        <v>0</v>
      </c>
      <c r="Q262" s="95">
        <v>4.2199999999999998E-3</v>
      </c>
      <c r="R262" s="95">
        <f>Q262*H262</f>
        <v>1.6795600000000001E-2</v>
      </c>
      <c r="S262" s="95">
        <v>0</v>
      </c>
      <c r="T262" s="96">
        <f>S262*H262</f>
        <v>0</v>
      </c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R262" s="97" t="s">
        <v>83</v>
      </c>
      <c r="AT262" s="97" t="s">
        <v>78</v>
      </c>
      <c r="AU262" s="97" t="s">
        <v>47</v>
      </c>
      <c r="AY262" s="10" t="s">
        <v>75</v>
      </c>
      <c r="BE262" s="98">
        <f>IF(N262="základní",J262,0)</f>
        <v>2456.33</v>
      </c>
      <c r="BF262" s="98">
        <f>IF(N262="snížená",J262,0)</f>
        <v>0</v>
      </c>
      <c r="BG262" s="98">
        <f>IF(N262="zákl. přenesená",J262,0)</f>
        <v>0</v>
      </c>
      <c r="BH262" s="98">
        <f>IF(N262="sníž. přenesená",J262,0)</f>
        <v>0</v>
      </c>
      <c r="BI262" s="98">
        <f>IF(N262="nulová",J262,0)</f>
        <v>0</v>
      </c>
      <c r="BJ262" s="10" t="s">
        <v>46</v>
      </c>
      <c r="BK262" s="98">
        <f>ROUND(I262*H262,2)</f>
        <v>2456.33</v>
      </c>
      <c r="BL262" s="10" t="s">
        <v>83</v>
      </c>
      <c r="BM262" s="97" t="s">
        <v>304</v>
      </c>
    </row>
    <row r="263" spans="1:65" s="1" customFormat="1" ht="29.25" x14ac:dyDescent="0.2">
      <c r="A263" s="156"/>
      <c r="B263" s="16"/>
      <c r="C263" s="156"/>
      <c r="D263" s="99" t="s">
        <v>84</v>
      </c>
      <c r="E263" s="156"/>
      <c r="F263" s="100" t="s">
        <v>305</v>
      </c>
      <c r="G263" s="156"/>
      <c r="H263" s="156"/>
      <c r="I263" s="101"/>
      <c r="J263" s="156"/>
      <c r="K263" s="156"/>
      <c r="L263" s="16"/>
      <c r="M263" s="102"/>
      <c r="N263" s="103"/>
      <c r="O263" s="27"/>
      <c r="P263" s="27"/>
      <c r="Q263" s="27"/>
      <c r="R263" s="27"/>
      <c r="S263" s="27"/>
      <c r="T263" s="28"/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T263" s="10" t="s">
        <v>84</v>
      </c>
      <c r="AU263" s="10" t="s">
        <v>47</v>
      </c>
    </row>
    <row r="264" spans="1:65" s="1" customFormat="1" ht="29.25" x14ac:dyDescent="0.2">
      <c r="A264" s="156"/>
      <c r="B264" s="16"/>
      <c r="C264" s="156"/>
      <c r="D264" s="99" t="s">
        <v>86</v>
      </c>
      <c r="E264" s="156"/>
      <c r="F264" s="104" t="s">
        <v>217</v>
      </c>
      <c r="G264" s="156"/>
      <c r="H264" s="156"/>
      <c r="I264" s="101"/>
      <c r="J264" s="156"/>
      <c r="K264" s="156"/>
      <c r="L264" s="16"/>
      <c r="M264" s="102"/>
      <c r="N264" s="103"/>
      <c r="O264" s="27"/>
      <c r="P264" s="27"/>
      <c r="Q264" s="27"/>
      <c r="R264" s="27"/>
      <c r="S264" s="27"/>
      <c r="T264" s="28"/>
      <c r="U264" s="156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T264" s="10" t="s">
        <v>86</v>
      </c>
      <c r="AU264" s="10" t="s">
        <v>47</v>
      </c>
    </row>
    <row r="265" spans="1:65" s="7" customFormat="1" x14ac:dyDescent="0.2">
      <c r="B265" s="112"/>
      <c r="D265" s="99" t="s">
        <v>87</v>
      </c>
      <c r="E265" s="113" t="s">
        <v>0</v>
      </c>
      <c r="F265" s="114">
        <v>3.98</v>
      </c>
      <c r="H265" s="115">
        <v>3.98</v>
      </c>
      <c r="I265" s="116"/>
      <c r="L265" s="112"/>
      <c r="M265" s="117"/>
      <c r="N265" s="118"/>
      <c r="O265" s="118"/>
      <c r="P265" s="118"/>
      <c r="Q265" s="118"/>
      <c r="R265" s="118"/>
      <c r="S265" s="118"/>
      <c r="T265" s="119"/>
      <c r="AT265" s="113" t="s">
        <v>87</v>
      </c>
      <c r="AU265" s="113" t="s">
        <v>47</v>
      </c>
      <c r="AV265" s="7" t="s">
        <v>47</v>
      </c>
      <c r="AW265" s="7" t="s">
        <v>19</v>
      </c>
      <c r="AX265" s="7" t="s">
        <v>46</v>
      </c>
      <c r="AY265" s="113" t="s">
        <v>75</v>
      </c>
    </row>
    <row r="266" spans="1:65" s="1" customFormat="1" ht="24.2" customHeight="1" x14ac:dyDescent="0.2">
      <c r="A266" s="156"/>
      <c r="B266" s="85"/>
      <c r="C266" s="86" t="s">
        <v>306</v>
      </c>
      <c r="D266" s="86" t="s">
        <v>78</v>
      </c>
      <c r="E266" s="87" t="s">
        <v>307</v>
      </c>
      <c r="F266" s="88" t="s">
        <v>308</v>
      </c>
      <c r="G266" s="89" t="s">
        <v>309</v>
      </c>
      <c r="H266" s="90">
        <v>4</v>
      </c>
      <c r="I266" s="91">
        <v>214.24530512569368</v>
      </c>
      <c r="J266" s="92">
        <f>ROUND(I266*H266,2)</f>
        <v>856.98</v>
      </c>
      <c r="K266" s="88" t="s">
        <v>82</v>
      </c>
      <c r="L266" s="16"/>
      <c r="M266" s="93" t="s">
        <v>0</v>
      </c>
      <c r="N266" s="94" t="s">
        <v>27</v>
      </c>
      <c r="O266" s="27"/>
      <c r="P266" s="95">
        <f>O266*H266</f>
        <v>0</v>
      </c>
      <c r="Q266" s="95">
        <v>0</v>
      </c>
      <c r="R266" s="95">
        <f>Q266*H266</f>
        <v>0</v>
      </c>
      <c r="S266" s="95">
        <v>0</v>
      </c>
      <c r="T266" s="96">
        <f>S266*H266</f>
        <v>0</v>
      </c>
      <c r="U266" s="156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R266" s="97" t="s">
        <v>83</v>
      </c>
      <c r="AT266" s="97" t="s">
        <v>78</v>
      </c>
      <c r="AU266" s="97" t="s">
        <v>47</v>
      </c>
      <c r="AY266" s="10" t="s">
        <v>75</v>
      </c>
      <c r="BE266" s="98">
        <f>IF(N266="základní",J266,0)</f>
        <v>856.98</v>
      </c>
      <c r="BF266" s="98">
        <f>IF(N266="snížená",J266,0)</f>
        <v>0</v>
      </c>
      <c r="BG266" s="98">
        <f>IF(N266="zákl. přenesená",J266,0)</f>
        <v>0</v>
      </c>
      <c r="BH266" s="98">
        <f>IF(N266="sníž. přenesená",J266,0)</f>
        <v>0</v>
      </c>
      <c r="BI266" s="98">
        <f>IF(N266="nulová",J266,0)</f>
        <v>0</v>
      </c>
      <c r="BJ266" s="10" t="s">
        <v>46</v>
      </c>
      <c r="BK266" s="98">
        <f>ROUND(I266*H266,2)</f>
        <v>856.98</v>
      </c>
      <c r="BL266" s="10" t="s">
        <v>83</v>
      </c>
      <c r="BM266" s="97" t="s">
        <v>310</v>
      </c>
    </row>
    <row r="267" spans="1:65" s="1" customFormat="1" ht="19.5" x14ac:dyDescent="0.2">
      <c r="A267" s="156"/>
      <c r="B267" s="16"/>
      <c r="C267" s="156"/>
      <c r="D267" s="99" t="s">
        <v>84</v>
      </c>
      <c r="E267" s="156"/>
      <c r="F267" s="100" t="s">
        <v>311</v>
      </c>
      <c r="G267" s="156"/>
      <c r="H267" s="156"/>
      <c r="I267" s="101"/>
      <c r="J267" s="156"/>
      <c r="K267" s="156"/>
      <c r="L267" s="16"/>
      <c r="M267" s="102"/>
      <c r="N267" s="103"/>
      <c r="O267" s="27"/>
      <c r="P267" s="27"/>
      <c r="Q267" s="27"/>
      <c r="R267" s="27"/>
      <c r="S267" s="27"/>
      <c r="T267" s="28"/>
      <c r="U267" s="156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T267" s="10" t="s">
        <v>84</v>
      </c>
      <c r="AU267" s="10" t="s">
        <v>47</v>
      </c>
    </row>
    <row r="268" spans="1:65" s="1" customFormat="1" ht="29.25" x14ac:dyDescent="0.2">
      <c r="A268" s="156"/>
      <c r="B268" s="16"/>
      <c r="C268" s="156"/>
      <c r="D268" s="99" t="s">
        <v>86</v>
      </c>
      <c r="E268" s="156"/>
      <c r="F268" s="104" t="s">
        <v>217</v>
      </c>
      <c r="G268" s="156"/>
      <c r="H268" s="156"/>
      <c r="I268" s="101"/>
      <c r="J268" s="156"/>
      <c r="K268" s="156"/>
      <c r="L268" s="16"/>
      <c r="M268" s="102"/>
      <c r="N268" s="103"/>
      <c r="O268" s="27"/>
      <c r="P268" s="27"/>
      <c r="Q268" s="27"/>
      <c r="R268" s="27"/>
      <c r="S268" s="27"/>
      <c r="T268" s="28"/>
      <c r="U268" s="156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T268" s="10" t="s">
        <v>86</v>
      </c>
      <c r="AU268" s="10" t="s">
        <v>47</v>
      </c>
    </row>
    <row r="269" spans="1:65" s="9" customFormat="1" x14ac:dyDescent="0.2">
      <c r="B269" s="128"/>
      <c r="D269" s="99" t="s">
        <v>87</v>
      </c>
      <c r="E269" s="129" t="s">
        <v>0</v>
      </c>
      <c r="F269" s="130" t="s">
        <v>103</v>
      </c>
      <c r="H269" s="131">
        <v>4</v>
      </c>
      <c r="I269" s="132"/>
      <c r="L269" s="128"/>
      <c r="M269" s="133"/>
      <c r="N269" s="134"/>
      <c r="O269" s="134"/>
      <c r="P269" s="134"/>
      <c r="Q269" s="134"/>
      <c r="R269" s="134"/>
      <c r="S269" s="134"/>
      <c r="T269" s="135"/>
      <c r="AT269" s="129" t="s">
        <v>87</v>
      </c>
      <c r="AU269" s="129" t="s">
        <v>47</v>
      </c>
      <c r="AV269" s="9" t="s">
        <v>83</v>
      </c>
      <c r="AW269" s="9" t="s">
        <v>19</v>
      </c>
      <c r="AX269" s="9" t="s">
        <v>46</v>
      </c>
      <c r="AY269" s="129" t="s">
        <v>75</v>
      </c>
    </row>
    <row r="270" spans="1:65" s="1" customFormat="1" ht="14.45" customHeight="1" x14ac:dyDescent="0.2">
      <c r="A270" s="156"/>
      <c r="B270" s="85"/>
      <c r="C270" s="136" t="s">
        <v>312</v>
      </c>
      <c r="D270" s="136" t="s">
        <v>126</v>
      </c>
      <c r="E270" s="137" t="s">
        <v>313</v>
      </c>
      <c r="F270" s="138" t="s">
        <v>314</v>
      </c>
      <c r="G270" s="139" t="s">
        <v>309</v>
      </c>
      <c r="H270" s="140">
        <v>2</v>
      </c>
      <c r="I270" s="141">
        <v>100.40486420000001</v>
      </c>
      <c r="J270" s="142">
        <f>ROUND(I270*H270,2)</f>
        <v>200.81</v>
      </c>
      <c r="K270" s="138" t="s">
        <v>82</v>
      </c>
      <c r="L270" s="143"/>
      <c r="M270" s="144" t="s">
        <v>0</v>
      </c>
      <c r="N270" s="145" t="s">
        <v>27</v>
      </c>
      <c r="O270" s="27"/>
      <c r="P270" s="95">
        <f>O270*H270</f>
        <v>0</v>
      </c>
      <c r="Q270" s="95">
        <v>6.4999999999999997E-4</v>
      </c>
      <c r="R270" s="95">
        <f>Q270*H270</f>
        <v>1.2999999999999999E-3</v>
      </c>
      <c r="S270" s="95">
        <v>0</v>
      </c>
      <c r="T270" s="96">
        <f>S270*H270</f>
        <v>0</v>
      </c>
      <c r="U270" s="156"/>
      <c r="V270" s="156"/>
      <c r="W270" s="156"/>
      <c r="X270" s="156"/>
      <c r="Y270" s="156"/>
      <c r="Z270" s="156"/>
      <c r="AA270" s="156"/>
      <c r="AB270" s="156"/>
      <c r="AC270" s="156"/>
      <c r="AD270" s="156"/>
      <c r="AE270" s="156"/>
      <c r="AR270" s="97" t="s">
        <v>129</v>
      </c>
      <c r="AT270" s="97" t="s">
        <v>126</v>
      </c>
      <c r="AU270" s="97" t="s">
        <v>47</v>
      </c>
      <c r="AY270" s="10" t="s">
        <v>75</v>
      </c>
      <c r="BE270" s="98">
        <f>IF(N270="základní",J270,0)</f>
        <v>200.81</v>
      </c>
      <c r="BF270" s="98">
        <f>IF(N270="snížená",J270,0)</f>
        <v>0</v>
      </c>
      <c r="BG270" s="98">
        <f>IF(N270="zákl. přenesená",J270,0)</f>
        <v>0</v>
      </c>
      <c r="BH270" s="98">
        <f>IF(N270="sníž. přenesená",J270,0)</f>
        <v>0</v>
      </c>
      <c r="BI270" s="98">
        <f>IF(N270="nulová",J270,0)</f>
        <v>0</v>
      </c>
      <c r="BJ270" s="10" t="s">
        <v>46</v>
      </c>
      <c r="BK270" s="98">
        <f>ROUND(I270*H270,2)</f>
        <v>200.81</v>
      </c>
      <c r="BL270" s="10" t="s">
        <v>83</v>
      </c>
      <c r="BM270" s="97" t="s">
        <v>315</v>
      </c>
    </row>
    <row r="271" spans="1:65" s="1" customFormat="1" x14ac:dyDescent="0.2">
      <c r="A271" s="156"/>
      <c r="B271" s="16"/>
      <c r="C271" s="156"/>
      <c r="D271" s="99" t="s">
        <v>84</v>
      </c>
      <c r="E271" s="156"/>
      <c r="F271" s="100" t="s">
        <v>316</v>
      </c>
      <c r="G271" s="156"/>
      <c r="H271" s="156"/>
      <c r="I271" s="101"/>
      <c r="J271" s="156"/>
      <c r="K271" s="156"/>
      <c r="L271" s="16"/>
      <c r="M271" s="102"/>
      <c r="N271" s="103"/>
      <c r="O271" s="27"/>
      <c r="P271" s="27"/>
      <c r="Q271" s="27"/>
      <c r="R271" s="27"/>
      <c r="S271" s="27"/>
      <c r="T271" s="28"/>
      <c r="U271" s="156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T271" s="10" t="s">
        <v>84</v>
      </c>
      <c r="AU271" s="10" t="s">
        <v>47</v>
      </c>
    </row>
    <row r="272" spans="1:65" s="1" customFormat="1" ht="14.45" customHeight="1" x14ac:dyDescent="0.2">
      <c r="A272" s="156"/>
      <c r="B272" s="85"/>
      <c r="C272" s="136" t="s">
        <v>317</v>
      </c>
      <c r="D272" s="136" t="s">
        <v>126</v>
      </c>
      <c r="E272" s="137" t="s">
        <v>318</v>
      </c>
      <c r="F272" s="138" t="s">
        <v>319</v>
      </c>
      <c r="G272" s="139" t="s">
        <v>309</v>
      </c>
      <c r="H272" s="140">
        <v>2</v>
      </c>
      <c r="I272" s="141">
        <v>236.80392499999999</v>
      </c>
      <c r="J272" s="142">
        <f>ROUND(I272*H272,2)</f>
        <v>473.61</v>
      </c>
      <c r="K272" s="138" t="s">
        <v>0</v>
      </c>
      <c r="L272" s="143"/>
      <c r="M272" s="144" t="s">
        <v>0</v>
      </c>
      <c r="N272" s="145" t="s">
        <v>27</v>
      </c>
      <c r="O272" s="27"/>
      <c r="P272" s="95">
        <f>O272*H272</f>
        <v>0</v>
      </c>
      <c r="Q272" s="95">
        <v>6.4999999999999997E-4</v>
      </c>
      <c r="R272" s="95">
        <f>Q272*H272</f>
        <v>1.2999999999999999E-3</v>
      </c>
      <c r="S272" s="95">
        <v>0</v>
      </c>
      <c r="T272" s="96">
        <f>S272*H272</f>
        <v>0</v>
      </c>
      <c r="U272" s="156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R272" s="97" t="s">
        <v>129</v>
      </c>
      <c r="AT272" s="97" t="s">
        <v>126</v>
      </c>
      <c r="AU272" s="97" t="s">
        <v>47</v>
      </c>
      <c r="AY272" s="10" t="s">
        <v>75</v>
      </c>
      <c r="BE272" s="98">
        <f>IF(N272="základní",J272,0)</f>
        <v>473.61</v>
      </c>
      <c r="BF272" s="98">
        <f>IF(N272="snížená",J272,0)</f>
        <v>0</v>
      </c>
      <c r="BG272" s="98">
        <f>IF(N272="zákl. přenesená",J272,0)</f>
        <v>0</v>
      </c>
      <c r="BH272" s="98">
        <f>IF(N272="sníž. přenesená",J272,0)</f>
        <v>0</v>
      </c>
      <c r="BI272" s="98">
        <f>IF(N272="nulová",J272,0)</f>
        <v>0</v>
      </c>
      <c r="BJ272" s="10" t="s">
        <v>46</v>
      </c>
      <c r="BK272" s="98">
        <f>ROUND(I272*H272,2)</f>
        <v>473.61</v>
      </c>
      <c r="BL272" s="10" t="s">
        <v>83</v>
      </c>
      <c r="BM272" s="97" t="s">
        <v>320</v>
      </c>
    </row>
    <row r="273" spans="1:65" s="1" customFormat="1" x14ac:dyDescent="0.2">
      <c r="A273" s="156"/>
      <c r="B273" s="16"/>
      <c r="C273" s="156"/>
      <c r="D273" s="99" t="s">
        <v>84</v>
      </c>
      <c r="E273" s="156"/>
      <c r="F273" s="100" t="s">
        <v>319</v>
      </c>
      <c r="G273" s="156"/>
      <c r="H273" s="156"/>
      <c r="I273" s="101"/>
      <c r="J273" s="156"/>
      <c r="K273" s="156"/>
      <c r="L273" s="16"/>
      <c r="M273" s="102"/>
      <c r="N273" s="103"/>
      <c r="O273" s="27"/>
      <c r="P273" s="27"/>
      <c r="Q273" s="27"/>
      <c r="R273" s="27"/>
      <c r="S273" s="27"/>
      <c r="T273" s="28"/>
      <c r="U273" s="156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T273" s="10" t="s">
        <v>84</v>
      </c>
      <c r="AU273" s="10" t="s">
        <v>47</v>
      </c>
    </row>
    <row r="274" spans="1:65" s="1" customFormat="1" ht="14.45" customHeight="1" x14ac:dyDescent="0.2">
      <c r="A274" s="156"/>
      <c r="B274" s="85"/>
      <c r="C274" s="86" t="s">
        <v>321</v>
      </c>
      <c r="D274" s="86" t="s">
        <v>78</v>
      </c>
      <c r="E274" s="87" t="s">
        <v>322</v>
      </c>
      <c r="F274" s="88" t="s">
        <v>323</v>
      </c>
      <c r="G274" s="89" t="s">
        <v>309</v>
      </c>
      <c r="H274" s="90">
        <v>2</v>
      </c>
      <c r="I274" s="91">
        <v>214.24530512569368</v>
      </c>
      <c r="J274" s="92">
        <f>ROUND(I274*H274,2)</f>
        <v>428.49</v>
      </c>
      <c r="K274" s="88" t="s">
        <v>82</v>
      </c>
      <c r="L274" s="16"/>
      <c r="M274" s="93" t="s">
        <v>0</v>
      </c>
      <c r="N274" s="94" t="s">
        <v>27</v>
      </c>
      <c r="O274" s="27"/>
      <c r="P274" s="95">
        <f>O274*H274</f>
        <v>0</v>
      </c>
      <c r="Q274" s="95">
        <v>0</v>
      </c>
      <c r="R274" s="95">
        <f>Q274*H274</f>
        <v>0</v>
      </c>
      <c r="S274" s="95">
        <v>0</v>
      </c>
      <c r="T274" s="96">
        <f>S274*H274</f>
        <v>0</v>
      </c>
      <c r="U274" s="156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R274" s="97" t="s">
        <v>83</v>
      </c>
      <c r="AT274" s="97" t="s">
        <v>78</v>
      </c>
      <c r="AU274" s="97" t="s">
        <v>47</v>
      </c>
      <c r="AY274" s="10" t="s">
        <v>75</v>
      </c>
      <c r="BE274" s="98">
        <f>IF(N274="základní",J274,0)</f>
        <v>428.49</v>
      </c>
      <c r="BF274" s="98">
        <f>IF(N274="snížená",J274,0)</f>
        <v>0</v>
      </c>
      <c r="BG274" s="98">
        <f>IF(N274="zákl. přenesená",J274,0)</f>
        <v>0</v>
      </c>
      <c r="BH274" s="98">
        <f>IF(N274="sníž. přenesená",J274,0)</f>
        <v>0</v>
      </c>
      <c r="BI274" s="98">
        <f>IF(N274="nulová",J274,0)</f>
        <v>0</v>
      </c>
      <c r="BJ274" s="10" t="s">
        <v>46</v>
      </c>
      <c r="BK274" s="98">
        <f>ROUND(I274*H274,2)</f>
        <v>428.49</v>
      </c>
      <c r="BL274" s="10" t="s">
        <v>83</v>
      </c>
      <c r="BM274" s="97" t="s">
        <v>324</v>
      </c>
    </row>
    <row r="275" spans="1:65" s="1" customFormat="1" ht="19.5" x14ac:dyDescent="0.2">
      <c r="A275" s="156"/>
      <c r="B275" s="16"/>
      <c r="C275" s="156"/>
      <c r="D275" s="99" t="s">
        <v>84</v>
      </c>
      <c r="E275" s="156"/>
      <c r="F275" s="100" t="s">
        <v>325</v>
      </c>
      <c r="G275" s="156"/>
      <c r="H275" s="156"/>
      <c r="I275" s="101"/>
      <c r="J275" s="156"/>
      <c r="K275" s="156"/>
      <c r="L275" s="16"/>
      <c r="M275" s="102"/>
      <c r="N275" s="103"/>
      <c r="O275" s="27"/>
      <c r="P275" s="27"/>
      <c r="Q275" s="27"/>
      <c r="R275" s="27"/>
      <c r="S275" s="27"/>
      <c r="T275" s="28"/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T275" s="10" t="s">
        <v>84</v>
      </c>
      <c r="AU275" s="10" t="s">
        <v>47</v>
      </c>
    </row>
    <row r="276" spans="1:65" s="1" customFormat="1" ht="29.25" x14ac:dyDescent="0.2">
      <c r="A276" s="156"/>
      <c r="B276" s="16"/>
      <c r="C276" s="156"/>
      <c r="D276" s="99" t="s">
        <v>86</v>
      </c>
      <c r="E276" s="156"/>
      <c r="F276" s="104" t="s">
        <v>217</v>
      </c>
      <c r="G276" s="156"/>
      <c r="H276" s="156"/>
      <c r="I276" s="101"/>
      <c r="J276" s="156"/>
      <c r="K276" s="156"/>
      <c r="L276" s="16"/>
      <c r="M276" s="102"/>
      <c r="N276" s="103"/>
      <c r="O276" s="27"/>
      <c r="P276" s="27"/>
      <c r="Q276" s="27"/>
      <c r="R276" s="27"/>
      <c r="S276" s="27"/>
      <c r="T276" s="28"/>
      <c r="U276" s="156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T276" s="10" t="s">
        <v>86</v>
      </c>
      <c r="AU276" s="10" t="s">
        <v>47</v>
      </c>
    </row>
    <row r="277" spans="1:65" s="6" customFormat="1" x14ac:dyDescent="0.2">
      <c r="B277" s="105"/>
      <c r="D277" s="99" t="s">
        <v>87</v>
      </c>
      <c r="E277" s="106" t="s">
        <v>0</v>
      </c>
      <c r="F277" s="107" t="s">
        <v>326</v>
      </c>
      <c r="H277" s="106" t="s">
        <v>0</v>
      </c>
      <c r="I277" s="108"/>
      <c r="L277" s="105"/>
      <c r="M277" s="109"/>
      <c r="N277" s="110"/>
      <c r="O277" s="110"/>
      <c r="P277" s="110"/>
      <c r="Q277" s="110"/>
      <c r="R277" s="110"/>
      <c r="S277" s="110"/>
      <c r="T277" s="111"/>
      <c r="AT277" s="106" t="s">
        <v>87</v>
      </c>
      <c r="AU277" s="106" t="s">
        <v>47</v>
      </c>
      <c r="AV277" s="6" t="s">
        <v>46</v>
      </c>
      <c r="AW277" s="6" t="s">
        <v>19</v>
      </c>
      <c r="AX277" s="6" t="s">
        <v>45</v>
      </c>
      <c r="AY277" s="106" t="s">
        <v>75</v>
      </c>
    </row>
    <row r="278" spans="1:65" s="7" customFormat="1" x14ac:dyDescent="0.2">
      <c r="B278" s="112"/>
      <c r="D278" s="99" t="s">
        <v>87</v>
      </c>
      <c r="E278" s="113" t="s">
        <v>0</v>
      </c>
      <c r="F278" s="114" t="s">
        <v>237</v>
      </c>
      <c r="H278" s="115">
        <v>11</v>
      </c>
      <c r="I278" s="116"/>
      <c r="L278" s="112"/>
      <c r="M278" s="117"/>
      <c r="N278" s="118"/>
      <c r="O278" s="118"/>
      <c r="P278" s="118"/>
      <c r="Q278" s="118"/>
      <c r="R278" s="118"/>
      <c r="S278" s="118"/>
      <c r="T278" s="119"/>
      <c r="AT278" s="113" t="s">
        <v>87</v>
      </c>
      <c r="AU278" s="113" t="s">
        <v>47</v>
      </c>
      <c r="AV278" s="7" t="s">
        <v>47</v>
      </c>
      <c r="AW278" s="7" t="s">
        <v>19</v>
      </c>
      <c r="AX278" s="7" t="s">
        <v>46</v>
      </c>
      <c r="AY278" s="113" t="s">
        <v>75</v>
      </c>
    </row>
    <row r="279" spans="1:65" s="1" customFormat="1" ht="14.45" customHeight="1" x14ac:dyDescent="0.2">
      <c r="A279" s="156"/>
      <c r="B279" s="85"/>
      <c r="C279" s="136" t="s">
        <v>328</v>
      </c>
      <c r="D279" s="136" t="s">
        <v>126</v>
      </c>
      <c r="E279" s="137" t="s">
        <v>329</v>
      </c>
      <c r="F279" s="138" t="s">
        <v>330</v>
      </c>
      <c r="G279" s="139" t="s">
        <v>309</v>
      </c>
      <c r="H279" s="140">
        <v>2</v>
      </c>
      <c r="I279" s="141">
        <v>59.200981249999998</v>
      </c>
      <c r="J279" s="142">
        <f>ROUND(I279*H279,2)</f>
        <v>118.4</v>
      </c>
      <c r="K279" s="138" t="s">
        <v>82</v>
      </c>
      <c r="L279" s="143"/>
      <c r="M279" s="144" t="s">
        <v>0</v>
      </c>
      <c r="N279" s="145" t="s">
        <v>27</v>
      </c>
      <c r="O279" s="27"/>
      <c r="P279" s="95">
        <f>O279*H279</f>
        <v>0</v>
      </c>
      <c r="Q279" s="95">
        <v>2.9E-4</v>
      </c>
      <c r="R279" s="95">
        <f>Q279*H279</f>
        <v>5.8E-4</v>
      </c>
      <c r="S279" s="95">
        <v>0</v>
      </c>
      <c r="T279" s="96">
        <f>S279*H279</f>
        <v>0</v>
      </c>
      <c r="U279" s="156"/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/>
      <c r="AR279" s="97" t="s">
        <v>129</v>
      </c>
      <c r="AT279" s="97" t="s">
        <v>126</v>
      </c>
      <c r="AU279" s="97" t="s">
        <v>47</v>
      </c>
      <c r="AY279" s="10" t="s">
        <v>75</v>
      </c>
      <c r="BE279" s="98">
        <f>IF(N279="základní",J279,0)</f>
        <v>118.4</v>
      </c>
      <c r="BF279" s="98">
        <f>IF(N279="snížená",J279,0)</f>
        <v>0</v>
      </c>
      <c r="BG279" s="98">
        <f>IF(N279="zákl. přenesená",J279,0)</f>
        <v>0</v>
      </c>
      <c r="BH279" s="98">
        <f>IF(N279="sníž. přenesená",J279,0)</f>
        <v>0</v>
      </c>
      <c r="BI279" s="98">
        <f>IF(N279="nulová",J279,0)</f>
        <v>0</v>
      </c>
      <c r="BJ279" s="10" t="s">
        <v>46</v>
      </c>
      <c r="BK279" s="98">
        <f>ROUND(I279*H279,2)</f>
        <v>118.4</v>
      </c>
      <c r="BL279" s="10" t="s">
        <v>83</v>
      </c>
      <c r="BM279" s="97" t="s">
        <v>331</v>
      </c>
    </row>
    <row r="280" spans="1:65" s="1" customFormat="1" x14ac:dyDescent="0.2">
      <c r="A280" s="156"/>
      <c r="B280" s="16"/>
      <c r="C280" s="156"/>
      <c r="D280" s="99" t="s">
        <v>84</v>
      </c>
      <c r="E280" s="156"/>
      <c r="F280" s="100" t="s">
        <v>330</v>
      </c>
      <c r="G280" s="156"/>
      <c r="H280" s="156"/>
      <c r="I280" s="101"/>
      <c r="J280" s="156"/>
      <c r="K280" s="156"/>
      <c r="L280" s="16"/>
      <c r="M280" s="102"/>
      <c r="N280" s="103"/>
      <c r="O280" s="27"/>
      <c r="P280" s="27"/>
      <c r="Q280" s="27"/>
      <c r="R280" s="27"/>
      <c r="S280" s="27"/>
      <c r="T280" s="28"/>
      <c r="U280" s="156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T280" s="10" t="s">
        <v>84</v>
      </c>
      <c r="AU280" s="10" t="s">
        <v>47</v>
      </c>
    </row>
    <row r="281" spans="1:65" s="1" customFormat="1" ht="14.45" customHeight="1" x14ac:dyDescent="0.2">
      <c r="A281" s="156"/>
      <c r="B281" s="85"/>
      <c r="C281" s="86" t="s">
        <v>327</v>
      </c>
      <c r="D281" s="86" t="s">
        <v>78</v>
      </c>
      <c r="E281" s="87" t="s">
        <v>332</v>
      </c>
      <c r="F281" s="88" t="s">
        <v>333</v>
      </c>
      <c r="G281" s="89" t="s">
        <v>270</v>
      </c>
      <c r="H281" s="90">
        <v>3.98</v>
      </c>
      <c r="I281" s="91">
        <v>21.984104604889872</v>
      </c>
      <c r="J281" s="92">
        <f>ROUND(I281*H281,2)</f>
        <v>87.5</v>
      </c>
      <c r="K281" s="88" t="s">
        <v>82</v>
      </c>
      <c r="L281" s="16"/>
      <c r="M281" s="93" t="s">
        <v>0</v>
      </c>
      <c r="N281" s="94" t="s">
        <v>27</v>
      </c>
      <c r="O281" s="27"/>
      <c r="P281" s="95">
        <f>O281*H281</f>
        <v>0</v>
      </c>
      <c r="Q281" s="95">
        <v>0</v>
      </c>
      <c r="R281" s="95">
        <f>Q281*H281</f>
        <v>0</v>
      </c>
      <c r="S281" s="95">
        <v>0</v>
      </c>
      <c r="T281" s="96">
        <f>S281*H281</f>
        <v>0</v>
      </c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R281" s="97" t="s">
        <v>83</v>
      </c>
      <c r="AT281" s="97" t="s">
        <v>78</v>
      </c>
      <c r="AU281" s="97" t="s">
        <v>47</v>
      </c>
      <c r="AY281" s="10" t="s">
        <v>75</v>
      </c>
      <c r="BE281" s="98">
        <f>IF(N281="základní",J281,0)</f>
        <v>87.5</v>
      </c>
      <c r="BF281" s="98">
        <f>IF(N281="snížená",J281,0)</f>
        <v>0</v>
      </c>
      <c r="BG281" s="98">
        <f>IF(N281="zákl. přenesená",J281,0)</f>
        <v>0</v>
      </c>
      <c r="BH281" s="98">
        <f>IF(N281="sníž. přenesená",J281,0)</f>
        <v>0</v>
      </c>
      <c r="BI281" s="98">
        <f>IF(N281="nulová",J281,0)</f>
        <v>0</v>
      </c>
      <c r="BJ281" s="10" t="s">
        <v>46</v>
      </c>
      <c r="BK281" s="98">
        <f>ROUND(I281*H281,2)</f>
        <v>87.5</v>
      </c>
      <c r="BL281" s="10" t="s">
        <v>83</v>
      </c>
      <c r="BM281" s="97" t="s">
        <v>334</v>
      </c>
    </row>
    <row r="282" spans="1:65" s="1" customFormat="1" x14ac:dyDescent="0.2">
      <c r="A282" s="156"/>
      <c r="B282" s="16"/>
      <c r="C282" s="156"/>
      <c r="D282" s="99" t="s">
        <v>84</v>
      </c>
      <c r="E282" s="156"/>
      <c r="F282" s="100" t="s">
        <v>335</v>
      </c>
      <c r="G282" s="156"/>
      <c r="H282" s="156"/>
      <c r="I282" s="101"/>
      <c r="J282" s="156"/>
      <c r="K282" s="156"/>
      <c r="L282" s="16"/>
      <c r="M282" s="102"/>
      <c r="N282" s="103"/>
      <c r="O282" s="27"/>
      <c r="P282" s="27"/>
      <c r="Q282" s="27"/>
      <c r="R282" s="27"/>
      <c r="S282" s="27"/>
      <c r="T282" s="28"/>
      <c r="U282" s="156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T282" s="10" t="s">
        <v>84</v>
      </c>
      <c r="AU282" s="10" t="s">
        <v>47</v>
      </c>
    </row>
    <row r="283" spans="1:65" s="1" customFormat="1" ht="19.5" x14ac:dyDescent="0.2">
      <c r="A283" s="156"/>
      <c r="B283" s="16"/>
      <c r="C283" s="156"/>
      <c r="D283" s="99" t="s">
        <v>86</v>
      </c>
      <c r="E283" s="156"/>
      <c r="F283" s="104" t="s">
        <v>336</v>
      </c>
      <c r="G283" s="156"/>
      <c r="H283" s="156"/>
      <c r="I283" s="101"/>
      <c r="J283" s="156"/>
      <c r="K283" s="156"/>
      <c r="L283" s="16"/>
      <c r="M283" s="102"/>
      <c r="N283" s="103"/>
      <c r="O283" s="27"/>
      <c r="P283" s="27"/>
      <c r="Q283" s="27"/>
      <c r="R283" s="27"/>
      <c r="S283" s="27"/>
      <c r="T283" s="28"/>
      <c r="U283" s="156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T283" s="10" t="s">
        <v>86</v>
      </c>
      <c r="AU283" s="10" t="s">
        <v>47</v>
      </c>
    </row>
    <row r="284" spans="1:65" s="1" customFormat="1" ht="24.2" customHeight="1" x14ac:dyDescent="0.2">
      <c r="A284" s="156"/>
      <c r="B284" s="85"/>
      <c r="C284" s="86" t="s">
        <v>169</v>
      </c>
      <c r="D284" s="86" t="s">
        <v>78</v>
      </c>
      <c r="E284" s="87" t="s">
        <v>337</v>
      </c>
      <c r="F284" s="88" t="s">
        <v>338</v>
      </c>
      <c r="G284" s="89" t="s">
        <v>309</v>
      </c>
      <c r="H284" s="90">
        <v>2</v>
      </c>
      <c r="I284" s="91">
        <v>3029.9958423936168</v>
      </c>
      <c r="J284" s="92">
        <f>ROUND(I284*H284,2)</f>
        <v>6059.99</v>
      </c>
      <c r="K284" s="88" t="s">
        <v>82</v>
      </c>
      <c r="L284" s="16"/>
      <c r="M284" s="93" t="s">
        <v>0</v>
      </c>
      <c r="N284" s="94" t="s">
        <v>27</v>
      </c>
      <c r="O284" s="27"/>
      <c r="P284" s="95">
        <f>O284*H284</f>
        <v>0</v>
      </c>
      <c r="Q284" s="95">
        <v>5.8029999999999998E-2</v>
      </c>
      <c r="R284" s="95">
        <f>Q284*H284</f>
        <v>0.11606</v>
      </c>
      <c r="S284" s="95">
        <v>0</v>
      </c>
      <c r="T284" s="96">
        <f>S284*H284</f>
        <v>0</v>
      </c>
      <c r="U284" s="156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R284" s="97" t="s">
        <v>83</v>
      </c>
      <c r="AT284" s="97" t="s">
        <v>78</v>
      </c>
      <c r="AU284" s="97" t="s">
        <v>47</v>
      </c>
      <c r="AY284" s="10" t="s">
        <v>75</v>
      </c>
      <c r="BE284" s="98">
        <f>IF(N284="základní",J284,0)</f>
        <v>6059.99</v>
      </c>
      <c r="BF284" s="98">
        <f>IF(N284="snížená",J284,0)</f>
        <v>0</v>
      </c>
      <c r="BG284" s="98">
        <f>IF(N284="zákl. přenesená",J284,0)</f>
        <v>0</v>
      </c>
      <c r="BH284" s="98">
        <f>IF(N284="sníž. přenesená",J284,0)</f>
        <v>0</v>
      </c>
      <c r="BI284" s="98">
        <f>IF(N284="nulová",J284,0)</f>
        <v>0</v>
      </c>
      <c r="BJ284" s="10" t="s">
        <v>46</v>
      </c>
      <c r="BK284" s="98">
        <f>ROUND(I284*H284,2)</f>
        <v>6059.99</v>
      </c>
      <c r="BL284" s="10" t="s">
        <v>83</v>
      </c>
      <c r="BM284" s="97" t="s">
        <v>339</v>
      </c>
    </row>
    <row r="285" spans="1:65" s="1" customFormat="1" ht="29.25" x14ac:dyDescent="0.2">
      <c r="A285" s="156"/>
      <c r="B285" s="16"/>
      <c r="C285" s="156"/>
      <c r="D285" s="99" t="s">
        <v>84</v>
      </c>
      <c r="E285" s="156"/>
      <c r="F285" s="100" t="s">
        <v>340</v>
      </c>
      <c r="G285" s="156"/>
      <c r="H285" s="156"/>
      <c r="I285" s="101"/>
      <c r="J285" s="156"/>
      <c r="K285" s="156"/>
      <c r="L285" s="16"/>
      <c r="M285" s="102"/>
      <c r="N285" s="103"/>
      <c r="O285" s="27"/>
      <c r="P285" s="27"/>
      <c r="Q285" s="27"/>
      <c r="R285" s="27"/>
      <c r="S285" s="27"/>
      <c r="T285" s="28"/>
      <c r="U285" s="156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T285" s="10" t="s">
        <v>84</v>
      </c>
      <c r="AU285" s="10" t="s">
        <v>47</v>
      </c>
    </row>
    <row r="286" spans="1:65" s="1" customFormat="1" ht="29.25" x14ac:dyDescent="0.2">
      <c r="A286" s="156"/>
      <c r="B286" s="16"/>
      <c r="C286" s="156"/>
      <c r="D286" s="99" t="s">
        <v>86</v>
      </c>
      <c r="E286" s="156"/>
      <c r="F286" s="104" t="s">
        <v>217</v>
      </c>
      <c r="G286" s="156"/>
      <c r="H286" s="156"/>
      <c r="I286" s="101"/>
      <c r="J286" s="156"/>
      <c r="K286" s="156"/>
      <c r="L286" s="16"/>
      <c r="M286" s="102"/>
      <c r="N286" s="103"/>
      <c r="O286" s="27"/>
      <c r="P286" s="27"/>
      <c r="Q286" s="27"/>
      <c r="R286" s="27"/>
      <c r="S286" s="27"/>
      <c r="T286" s="28"/>
      <c r="U286" s="156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T286" s="10" t="s">
        <v>86</v>
      </c>
      <c r="AU286" s="10" t="s">
        <v>47</v>
      </c>
    </row>
    <row r="287" spans="1:65" s="7" customFormat="1" x14ac:dyDescent="0.2">
      <c r="B287" s="112"/>
      <c r="D287" s="99" t="s">
        <v>87</v>
      </c>
      <c r="E287" s="113" t="s">
        <v>0</v>
      </c>
      <c r="F287" s="114" t="s">
        <v>237</v>
      </c>
      <c r="H287" s="115">
        <v>11</v>
      </c>
      <c r="I287" s="116"/>
      <c r="L287" s="112"/>
      <c r="M287" s="117"/>
      <c r="N287" s="118"/>
      <c r="O287" s="118"/>
      <c r="P287" s="118"/>
      <c r="Q287" s="118"/>
      <c r="R287" s="118"/>
      <c r="S287" s="118"/>
      <c r="T287" s="119"/>
      <c r="AT287" s="113" t="s">
        <v>87</v>
      </c>
      <c r="AU287" s="113" t="s">
        <v>47</v>
      </c>
      <c r="AV287" s="7" t="s">
        <v>47</v>
      </c>
      <c r="AW287" s="7" t="s">
        <v>19</v>
      </c>
      <c r="AX287" s="7" t="s">
        <v>46</v>
      </c>
      <c r="AY287" s="113" t="s">
        <v>75</v>
      </c>
    </row>
    <row r="288" spans="1:65" s="1" customFormat="1" ht="24.2" customHeight="1" x14ac:dyDescent="0.2">
      <c r="A288" s="156"/>
      <c r="B288" s="85"/>
      <c r="C288" s="86" t="s">
        <v>173</v>
      </c>
      <c r="D288" s="86" t="s">
        <v>78</v>
      </c>
      <c r="E288" s="87" t="s">
        <v>341</v>
      </c>
      <c r="F288" s="88" t="s">
        <v>342</v>
      </c>
      <c r="G288" s="89" t="s">
        <v>309</v>
      </c>
      <c r="H288" s="90">
        <v>2</v>
      </c>
      <c r="I288" s="91">
        <v>1731.8858985723084</v>
      </c>
      <c r="J288" s="92">
        <f>ROUND(I288*H288,2)</f>
        <v>3463.77</v>
      </c>
      <c r="K288" s="88" t="s">
        <v>82</v>
      </c>
      <c r="L288" s="16"/>
      <c r="M288" s="93" t="s">
        <v>0</v>
      </c>
      <c r="N288" s="94" t="s">
        <v>27</v>
      </c>
      <c r="O288" s="27"/>
      <c r="P288" s="95">
        <f>O288*H288</f>
        <v>0</v>
      </c>
      <c r="Q288" s="95">
        <v>1.136E-2</v>
      </c>
      <c r="R288" s="95">
        <f>Q288*H288</f>
        <v>2.2720000000000001E-2</v>
      </c>
      <c r="S288" s="95">
        <v>0</v>
      </c>
      <c r="T288" s="96">
        <f>S288*H288</f>
        <v>0</v>
      </c>
      <c r="U288" s="156"/>
      <c r="V288" s="156"/>
      <c r="W288" s="156"/>
      <c r="X288" s="156"/>
      <c r="Y288" s="156"/>
      <c r="Z288" s="156"/>
      <c r="AA288" s="156"/>
      <c r="AB288" s="156"/>
      <c r="AC288" s="156"/>
      <c r="AD288" s="156"/>
      <c r="AE288" s="156"/>
      <c r="AR288" s="97" t="s">
        <v>83</v>
      </c>
      <c r="AT288" s="97" t="s">
        <v>78</v>
      </c>
      <c r="AU288" s="97" t="s">
        <v>47</v>
      </c>
      <c r="AY288" s="10" t="s">
        <v>75</v>
      </c>
      <c r="BE288" s="98">
        <f>IF(N288="základní",J288,0)</f>
        <v>3463.77</v>
      </c>
      <c r="BF288" s="98">
        <f>IF(N288="snížená",J288,0)</f>
        <v>0</v>
      </c>
      <c r="BG288" s="98">
        <f>IF(N288="zákl. přenesená",J288,0)</f>
        <v>0</v>
      </c>
      <c r="BH288" s="98">
        <f>IF(N288="sníž. přenesená",J288,0)</f>
        <v>0</v>
      </c>
      <c r="BI288" s="98">
        <f>IF(N288="nulová",J288,0)</f>
        <v>0</v>
      </c>
      <c r="BJ288" s="10" t="s">
        <v>46</v>
      </c>
      <c r="BK288" s="98">
        <f>ROUND(I288*H288,2)</f>
        <v>3463.77</v>
      </c>
      <c r="BL288" s="10" t="s">
        <v>83</v>
      </c>
      <c r="BM288" s="97" t="s">
        <v>343</v>
      </c>
    </row>
    <row r="289" spans="1:65" s="1" customFormat="1" ht="19.5" x14ac:dyDescent="0.2">
      <c r="A289" s="156"/>
      <c r="B289" s="16"/>
      <c r="C289" s="156"/>
      <c r="D289" s="99" t="s">
        <v>84</v>
      </c>
      <c r="E289" s="156"/>
      <c r="F289" s="100" t="s">
        <v>344</v>
      </c>
      <c r="G289" s="156"/>
      <c r="H289" s="156"/>
      <c r="I289" s="101"/>
      <c r="J289" s="156"/>
      <c r="K289" s="156"/>
      <c r="L289" s="16"/>
      <c r="M289" s="102"/>
      <c r="N289" s="103"/>
      <c r="O289" s="27"/>
      <c r="P289" s="27"/>
      <c r="Q289" s="27"/>
      <c r="R289" s="27"/>
      <c r="S289" s="27"/>
      <c r="T289" s="28"/>
      <c r="U289" s="156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T289" s="10" t="s">
        <v>84</v>
      </c>
      <c r="AU289" s="10" t="s">
        <v>47</v>
      </c>
    </row>
    <row r="290" spans="1:65" s="1" customFormat="1" ht="24.2" customHeight="1" x14ac:dyDescent="0.2">
      <c r="A290" s="156"/>
      <c r="B290" s="85"/>
      <c r="C290" s="86" t="s">
        <v>345</v>
      </c>
      <c r="D290" s="86" t="s">
        <v>78</v>
      </c>
      <c r="E290" s="87" t="s">
        <v>346</v>
      </c>
      <c r="F290" s="88" t="s">
        <v>347</v>
      </c>
      <c r="G290" s="89" t="s">
        <v>309</v>
      </c>
      <c r="H290" s="90">
        <v>2</v>
      </c>
      <c r="I290" s="91">
        <v>769.70783374577138</v>
      </c>
      <c r="J290" s="92">
        <f>ROUND(I290*H290,2)</f>
        <v>1539.42</v>
      </c>
      <c r="K290" s="88" t="s">
        <v>82</v>
      </c>
      <c r="L290" s="16"/>
      <c r="M290" s="93" t="s">
        <v>0</v>
      </c>
      <c r="N290" s="94" t="s">
        <v>27</v>
      </c>
      <c r="O290" s="27"/>
      <c r="P290" s="95">
        <f>O290*H290</f>
        <v>0</v>
      </c>
      <c r="Q290" s="95">
        <v>6.2199999999999998E-3</v>
      </c>
      <c r="R290" s="95">
        <f>Q290*H290</f>
        <v>1.244E-2</v>
      </c>
      <c r="S290" s="95">
        <v>0</v>
      </c>
      <c r="T290" s="96">
        <f>S290*H290</f>
        <v>0</v>
      </c>
      <c r="U290" s="156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R290" s="97" t="s">
        <v>83</v>
      </c>
      <c r="AT290" s="97" t="s">
        <v>78</v>
      </c>
      <c r="AU290" s="97" t="s">
        <v>47</v>
      </c>
      <c r="AY290" s="10" t="s">
        <v>75</v>
      </c>
      <c r="BE290" s="98">
        <f>IF(N290="základní",J290,0)</f>
        <v>1539.42</v>
      </c>
      <c r="BF290" s="98">
        <f>IF(N290="snížená",J290,0)</f>
        <v>0</v>
      </c>
      <c r="BG290" s="98">
        <f>IF(N290="zákl. přenesená",J290,0)</f>
        <v>0</v>
      </c>
      <c r="BH290" s="98">
        <f>IF(N290="sníž. přenesená",J290,0)</f>
        <v>0</v>
      </c>
      <c r="BI290" s="98">
        <f>IF(N290="nulová",J290,0)</f>
        <v>0</v>
      </c>
      <c r="BJ290" s="10" t="s">
        <v>46</v>
      </c>
      <c r="BK290" s="98">
        <f>ROUND(I290*H290,2)</f>
        <v>1539.42</v>
      </c>
      <c r="BL290" s="10" t="s">
        <v>83</v>
      </c>
      <c r="BM290" s="97" t="s">
        <v>348</v>
      </c>
    </row>
    <row r="291" spans="1:65" s="1" customFormat="1" ht="29.25" x14ac:dyDescent="0.2">
      <c r="A291" s="156"/>
      <c r="B291" s="16"/>
      <c r="C291" s="156"/>
      <c r="D291" s="99" t="s">
        <v>84</v>
      </c>
      <c r="E291" s="156"/>
      <c r="F291" s="100" t="s">
        <v>349</v>
      </c>
      <c r="G291" s="156"/>
      <c r="H291" s="156"/>
      <c r="I291" s="101"/>
      <c r="J291" s="156"/>
      <c r="K291" s="156"/>
      <c r="L291" s="16"/>
      <c r="M291" s="102"/>
      <c r="N291" s="103"/>
      <c r="O291" s="27"/>
      <c r="P291" s="27"/>
      <c r="Q291" s="27"/>
      <c r="R291" s="27"/>
      <c r="S291" s="27"/>
      <c r="T291" s="28"/>
      <c r="U291" s="156"/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/>
      <c r="AT291" s="10" t="s">
        <v>84</v>
      </c>
      <c r="AU291" s="10" t="s">
        <v>47</v>
      </c>
    </row>
    <row r="292" spans="1:65" s="1" customFormat="1" ht="24.2" customHeight="1" x14ac:dyDescent="0.2">
      <c r="A292" s="156"/>
      <c r="B292" s="85"/>
      <c r="C292" s="86" t="s">
        <v>177</v>
      </c>
      <c r="D292" s="86" t="s">
        <v>78</v>
      </c>
      <c r="E292" s="87" t="s">
        <v>350</v>
      </c>
      <c r="F292" s="88" t="s">
        <v>351</v>
      </c>
      <c r="G292" s="89" t="s">
        <v>309</v>
      </c>
      <c r="H292" s="90">
        <v>2</v>
      </c>
      <c r="I292" s="91">
        <v>809.35201412271431</v>
      </c>
      <c r="J292" s="92">
        <f>ROUND(I292*H292,2)</f>
        <v>1618.7</v>
      </c>
      <c r="K292" s="88" t="s">
        <v>82</v>
      </c>
      <c r="L292" s="16"/>
      <c r="M292" s="93" t="s">
        <v>0</v>
      </c>
      <c r="N292" s="94" t="s">
        <v>27</v>
      </c>
      <c r="O292" s="27"/>
      <c r="P292" s="95">
        <f>O292*H292</f>
        <v>0</v>
      </c>
      <c r="Q292" s="95">
        <v>0</v>
      </c>
      <c r="R292" s="95">
        <f>Q292*H292</f>
        <v>0</v>
      </c>
      <c r="S292" s="95">
        <v>0</v>
      </c>
      <c r="T292" s="96">
        <f>S292*H292</f>
        <v>0</v>
      </c>
      <c r="U292" s="156"/>
      <c r="V292" s="156"/>
      <c r="W292" s="156"/>
      <c r="X292" s="156"/>
      <c r="Y292" s="156"/>
      <c r="Z292" s="156"/>
      <c r="AA292" s="156"/>
      <c r="AB292" s="156"/>
      <c r="AC292" s="156"/>
      <c r="AD292" s="156"/>
      <c r="AE292" s="156"/>
      <c r="AR292" s="97" t="s">
        <v>83</v>
      </c>
      <c r="AT292" s="97" t="s">
        <v>78</v>
      </c>
      <c r="AU292" s="97" t="s">
        <v>47</v>
      </c>
      <c r="AY292" s="10" t="s">
        <v>75</v>
      </c>
      <c r="BE292" s="98">
        <f>IF(N292="základní",J292,0)</f>
        <v>1618.7</v>
      </c>
      <c r="BF292" s="98">
        <f>IF(N292="snížená",J292,0)</f>
        <v>0</v>
      </c>
      <c r="BG292" s="98">
        <f>IF(N292="zákl. přenesená",J292,0)</f>
        <v>0</v>
      </c>
      <c r="BH292" s="98">
        <f>IF(N292="sníž. přenesená",J292,0)</f>
        <v>0</v>
      </c>
      <c r="BI292" s="98">
        <f>IF(N292="nulová",J292,0)</f>
        <v>0</v>
      </c>
      <c r="BJ292" s="10" t="s">
        <v>46</v>
      </c>
      <c r="BK292" s="98">
        <f>ROUND(I292*H292,2)</f>
        <v>1618.7</v>
      </c>
      <c r="BL292" s="10" t="s">
        <v>83</v>
      </c>
      <c r="BM292" s="97" t="s">
        <v>352</v>
      </c>
    </row>
    <row r="293" spans="1:65" s="1" customFormat="1" ht="29.25" x14ac:dyDescent="0.2">
      <c r="A293" s="156"/>
      <c r="B293" s="16"/>
      <c r="C293" s="156"/>
      <c r="D293" s="99" t="s">
        <v>84</v>
      </c>
      <c r="E293" s="156"/>
      <c r="F293" s="100" t="s">
        <v>353</v>
      </c>
      <c r="G293" s="156"/>
      <c r="H293" s="156"/>
      <c r="I293" s="101"/>
      <c r="J293" s="156"/>
      <c r="K293" s="156"/>
      <c r="L293" s="16"/>
      <c r="M293" s="102"/>
      <c r="N293" s="103"/>
      <c r="O293" s="27"/>
      <c r="P293" s="27"/>
      <c r="Q293" s="27"/>
      <c r="R293" s="27"/>
      <c r="S293" s="27"/>
      <c r="T293" s="28"/>
      <c r="U293" s="156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T293" s="10" t="s">
        <v>84</v>
      </c>
      <c r="AU293" s="10" t="s">
        <v>47</v>
      </c>
    </row>
    <row r="294" spans="1:65" s="1" customFormat="1" ht="24.2" customHeight="1" x14ac:dyDescent="0.2">
      <c r="A294" s="156"/>
      <c r="B294" s="85"/>
      <c r="C294" s="86" t="s">
        <v>354</v>
      </c>
      <c r="D294" s="86" t="s">
        <v>78</v>
      </c>
      <c r="E294" s="87" t="s">
        <v>355</v>
      </c>
      <c r="F294" s="88" t="s">
        <v>356</v>
      </c>
      <c r="G294" s="89" t="s">
        <v>309</v>
      </c>
      <c r="H294" s="90">
        <v>2</v>
      </c>
      <c r="I294" s="91">
        <v>3446.6463092111458</v>
      </c>
      <c r="J294" s="92">
        <f>ROUND(I294*H294,2)</f>
        <v>6893.29</v>
      </c>
      <c r="K294" s="88" t="s">
        <v>82</v>
      </c>
      <c r="L294" s="16"/>
      <c r="M294" s="93" t="s">
        <v>0</v>
      </c>
      <c r="N294" s="94" t="s">
        <v>27</v>
      </c>
      <c r="O294" s="27"/>
      <c r="P294" s="95">
        <f>O294*H294</f>
        <v>0</v>
      </c>
      <c r="Q294" s="95">
        <v>5.4539999999999998E-2</v>
      </c>
      <c r="R294" s="95">
        <f>Q294*H294</f>
        <v>0.10908</v>
      </c>
      <c r="S294" s="95">
        <v>0</v>
      </c>
      <c r="T294" s="96">
        <f>S294*H294</f>
        <v>0</v>
      </c>
      <c r="U294" s="156"/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/>
      <c r="AR294" s="97" t="s">
        <v>83</v>
      </c>
      <c r="AT294" s="97" t="s">
        <v>78</v>
      </c>
      <c r="AU294" s="97" t="s">
        <v>47</v>
      </c>
      <c r="AY294" s="10" t="s">
        <v>75</v>
      </c>
      <c r="BE294" s="98">
        <f>IF(N294="základní",J294,0)</f>
        <v>6893.29</v>
      </c>
      <c r="BF294" s="98">
        <f>IF(N294="snížená",J294,0)</f>
        <v>0</v>
      </c>
      <c r="BG294" s="98">
        <f>IF(N294="zákl. přenesená",J294,0)</f>
        <v>0</v>
      </c>
      <c r="BH294" s="98">
        <f>IF(N294="sníž. přenesená",J294,0)</f>
        <v>0</v>
      </c>
      <c r="BI294" s="98">
        <f>IF(N294="nulová",J294,0)</f>
        <v>0</v>
      </c>
      <c r="BJ294" s="10" t="s">
        <v>46</v>
      </c>
      <c r="BK294" s="98">
        <f>ROUND(I294*H294,2)</f>
        <v>6893.29</v>
      </c>
      <c r="BL294" s="10" t="s">
        <v>83</v>
      </c>
      <c r="BM294" s="97" t="s">
        <v>357</v>
      </c>
    </row>
    <row r="295" spans="1:65" s="1" customFormat="1" ht="29.25" x14ac:dyDescent="0.2">
      <c r="A295" s="156"/>
      <c r="B295" s="16"/>
      <c r="C295" s="156"/>
      <c r="D295" s="99" t="s">
        <v>84</v>
      </c>
      <c r="E295" s="156"/>
      <c r="F295" s="100" t="s">
        <v>358</v>
      </c>
      <c r="G295" s="156"/>
      <c r="H295" s="156"/>
      <c r="I295" s="101"/>
      <c r="J295" s="156"/>
      <c r="K295" s="156"/>
      <c r="L295" s="16"/>
      <c r="M295" s="102"/>
      <c r="N295" s="103"/>
      <c r="O295" s="27"/>
      <c r="P295" s="27"/>
      <c r="Q295" s="27"/>
      <c r="R295" s="27"/>
      <c r="S295" s="27"/>
      <c r="T295" s="28"/>
      <c r="U295" s="156"/>
      <c r="V295" s="156"/>
      <c r="W295" s="156"/>
      <c r="X295" s="156"/>
      <c r="Y295" s="156"/>
      <c r="Z295" s="156"/>
      <c r="AA295" s="156"/>
      <c r="AB295" s="156"/>
      <c r="AC295" s="156"/>
      <c r="AD295" s="156"/>
      <c r="AE295" s="156"/>
      <c r="AT295" s="10" t="s">
        <v>84</v>
      </c>
      <c r="AU295" s="10" t="s">
        <v>47</v>
      </c>
    </row>
    <row r="296" spans="1:65" s="5" customFormat="1" ht="22.9" customHeight="1" x14ac:dyDescent="0.2">
      <c r="B296" s="72"/>
      <c r="D296" s="73" t="s">
        <v>44</v>
      </c>
      <c r="E296" s="83" t="s">
        <v>390</v>
      </c>
      <c r="F296" s="83" t="s">
        <v>391</v>
      </c>
      <c r="I296" s="75"/>
      <c r="J296" s="84">
        <f>BK296</f>
        <v>1180.9099999999999</v>
      </c>
      <c r="L296" s="72"/>
      <c r="M296" s="77"/>
      <c r="N296" s="78"/>
      <c r="O296" s="78"/>
      <c r="P296" s="79">
        <f>SUM(P297:P315)</f>
        <v>0</v>
      </c>
      <c r="Q296" s="78"/>
      <c r="R296" s="79">
        <f>SUM(R297:R315)</f>
        <v>0</v>
      </c>
      <c r="S296" s="78"/>
      <c r="T296" s="80">
        <f>SUM(T297:T315)</f>
        <v>0</v>
      </c>
      <c r="AR296" s="73" t="s">
        <v>46</v>
      </c>
      <c r="AT296" s="81" t="s">
        <v>44</v>
      </c>
      <c r="AU296" s="81" t="s">
        <v>46</v>
      </c>
      <c r="AY296" s="73" t="s">
        <v>75</v>
      </c>
      <c r="BK296" s="82">
        <f>SUM(BK297:BK315)</f>
        <v>1180.9099999999999</v>
      </c>
    </row>
    <row r="297" spans="1:65" s="1" customFormat="1" ht="14.45" customHeight="1" x14ac:dyDescent="0.2">
      <c r="A297" s="156"/>
      <c r="B297" s="85"/>
      <c r="C297" s="86" t="s">
        <v>142</v>
      </c>
      <c r="D297" s="86" t="s">
        <v>78</v>
      </c>
      <c r="E297" s="87" t="s">
        <v>181</v>
      </c>
      <c r="F297" s="88" t="s">
        <v>182</v>
      </c>
      <c r="G297" s="89" t="s">
        <v>119</v>
      </c>
      <c r="H297" s="90">
        <v>3.2240000000000002</v>
      </c>
      <c r="I297" s="91">
        <v>40.477390926043419</v>
      </c>
      <c r="J297" s="92">
        <f>ROUND(I297*H297,2)</f>
        <v>130.5</v>
      </c>
      <c r="K297" s="88" t="s">
        <v>82</v>
      </c>
      <c r="L297" s="16"/>
      <c r="M297" s="93" t="s">
        <v>0</v>
      </c>
      <c r="N297" s="94" t="s">
        <v>27</v>
      </c>
      <c r="O297" s="27"/>
      <c r="P297" s="95">
        <f>O297*H297</f>
        <v>0</v>
      </c>
      <c r="Q297" s="95">
        <v>0</v>
      </c>
      <c r="R297" s="95">
        <f>Q297*H297</f>
        <v>0</v>
      </c>
      <c r="S297" s="95">
        <v>0</v>
      </c>
      <c r="T297" s="96">
        <f>S297*H297</f>
        <v>0</v>
      </c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R297" s="97" t="s">
        <v>83</v>
      </c>
      <c r="AT297" s="97" t="s">
        <v>78</v>
      </c>
      <c r="AU297" s="97" t="s">
        <v>47</v>
      </c>
      <c r="AY297" s="10" t="s">
        <v>75</v>
      </c>
      <c r="BE297" s="98">
        <f>IF(N297="základní",J297,0)</f>
        <v>130.5</v>
      </c>
      <c r="BF297" s="98">
        <f>IF(N297="snížená",J297,0)</f>
        <v>0</v>
      </c>
      <c r="BG297" s="98">
        <f>IF(N297="zákl. přenesená",J297,0)</f>
        <v>0</v>
      </c>
      <c r="BH297" s="98">
        <f>IF(N297="sníž. přenesená",J297,0)</f>
        <v>0</v>
      </c>
      <c r="BI297" s="98">
        <f>IF(N297="nulová",J297,0)</f>
        <v>0</v>
      </c>
      <c r="BJ297" s="10" t="s">
        <v>46</v>
      </c>
      <c r="BK297" s="98">
        <f>ROUND(I297*H297,2)</f>
        <v>130.5</v>
      </c>
      <c r="BL297" s="10" t="s">
        <v>83</v>
      </c>
      <c r="BM297" s="97" t="s">
        <v>393</v>
      </c>
    </row>
    <row r="298" spans="1:65" s="1" customFormat="1" ht="19.5" x14ac:dyDescent="0.2">
      <c r="A298" s="156"/>
      <c r="B298" s="16"/>
      <c r="C298" s="156"/>
      <c r="D298" s="99" t="s">
        <v>84</v>
      </c>
      <c r="E298" s="156"/>
      <c r="F298" s="100" t="s">
        <v>183</v>
      </c>
      <c r="G298" s="156"/>
      <c r="H298" s="156"/>
      <c r="I298" s="101"/>
      <c r="J298" s="156"/>
      <c r="K298" s="156"/>
      <c r="L298" s="16"/>
      <c r="M298" s="102"/>
      <c r="N298" s="103"/>
      <c r="O298" s="27"/>
      <c r="P298" s="27"/>
      <c r="Q298" s="27"/>
      <c r="R298" s="27"/>
      <c r="S298" s="27"/>
      <c r="T298" s="28"/>
      <c r="U298" s="156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T298" s="10" t="s">
        <v>84</v>
      </c>
      <c r="AU298" s="10" t="s">
        <v>47</v>
      </c>
    </row>
    <row r="299" spans="1:65" s="7" customFormat="1" x14ac:dyDescent="0.2">
      <c r="B299" s="112"/>
      <c r="D299" s="99" t="s">
        <v>87</v>
      </c>
      <c r="E299" s="113" t="s">
        <v>0</v>
      </c>
      <c r="F299" s="114" t="s">
        <v>511</v>
      </c>
      <c r="H299" s="115">
        <f>3.582*0.4*2</f>
        <v>2.8656000000000001</v>
      </c>
      <c r="I299" s="116"/>
      <c r="L299" s="112"/>
      <c r="M299" s="117"/>
      <c r="N299" s="118"/>
      <c r="O299" s="118"/>
      <c r="P299" s="118"/>
      <c r="Q299" s="118"/>
      <c r="R299" s="118"/>
      <c r="S299" s="118"/>
      <c r="T299" s="119"/>
      <c r="AT299" s="113" t="s">
        <v>87</v>
      </c>
      <c r="AU299" s="113" t="s">
        <v>47</v>
      </c>
      <c r="AV299" s="7" t="s">
        <v>47</v>
      </c>
      <c r="AW299" s="7" t="s">
        <v>19</v>
      </c>
      <c r="AX299" s="7" t="s">
        <v>45</v>
      </c>
      <c r="AY299" s="113" t="s">
        <v>75</v>
      </c>
    </row>
    <row r="300" spans="1:65" s="7" customFormat="1" x14ac:dyDescent="0.2">
      <c r="B300" s="112"/>
      <c r="D300" s="99" t="s">
        <v>87</v>
      </c>
      <c r="E300" s="113" t="s">
        <v>0</v>
      </c>
      <c r="F300" s="114" t="s">
        <v>512</v>
      </c>
      <c r="H300" s="115">
        <f>3.582*0.05*2</f>
        <v>0.35820000000000002</v>
      </c>
      <c r="I300" s="116"/>
      <c r="L300" s="112"/>
      <c r="M300" s="117"/>
      <c r="N300" s="118"/>
      <c r="O300" s="118"/>
      <c r="P300" s="118"/>
      <c r="Q300" s="118"/>
      <c r="R300" s="118"/>
      <c r="S300" s="118"/>
      <c r="T300" s="119"/>
      <c r="AT300" s="113" t="s">
        <v>87</v>
      </c>
      <c r="AU300" s="113" t="s">
        <v>47</v>
      </c>
      <c r="AV300" s="7" t="s">
        <v>47</v>
      </c>
      <c r="AW300" s="7" t="s">
        <v>19</v>
      </c>
      <c r="AX300" s="7" t="s">
        <v>45</v>
      </c>
      <c r="AY300" s="113" t="s">
        <v>75</v>
      </c>
    </row>
    <row r="301" spans="1:65" s="9" customFormat="1" x14ac:dyDescent="0.2">
      <c r="B301" s="128"/>
      <c r="D301" s="99" t="s">
        <v>87</v>
      </c>
      <c r="E301" s="129" t="s">
        <v>0</v>
      </c>
      <c r="F301" s="130" t="s">
        <v>103</v>
      </c>
      <c r="H301" s="131">
        <f>H299+H300</f>
        <v>3.2238000000000002</v>
      </c>
      <c r="I301" s="132"/>
      <c r="L301" s="128"/>
      <c r="M301" s="133"/>
      <c r="N301" s="134"/>
      <c r="O301" s="134"/>
      <c r="P301" s="134"/>
      <c r="Q301" s="134"/>
      <c r="R301" s="134"/>
      <c r="S301" s="134"/>
      <c r="T301" s="135"/>
      <c r="AT301" s="129" t="s">
        <v>87</v>
      </c>
      <c r="AU301" s="129" t="s">
        <v>47</v>
      </c>
      <c r="AV301" s="9" t="s">
        <v>83</v>
      </c>
      <c r="AW301" s="9" t="s">
        <v>19</v>
      </c>
      <c r="AX301" s="9" t="s">
        <v>46</v>
      </c>
      <c r="AY301" s="129" t="s">
        <v>75</v>
      </c>
    </row>
    <row r="302" spans="1:65" s="1" customFormat="1" ht="24.2" customHeight="1" x14ac:dyDescent="0.2">
      <c r="A302" s="156"/>
      <c r="B302" s="85"/>
      <c r="C302" s="86" t="s">
        <v>363</v>
      </c>
      <c r="D302" s="86" t="s">
        <v>78</v>
      </c>
      <c r="E302" s="87" t="s">
        <v>186</v>
      </c>
      <c r="F302" s="88" t="s">
        <v>187</v>
      </c>
      <c r="G302" s="89" t="s">
        <v>119</v>
      </c>
      <c r="H302" s="90">
        <v>45.136000000000003</v>
      </c>
      <c r="I302" s="91">
        <v>3.1192340975392101</v>
      </c>
      <c r="J302" s="92">
        <f>ROUND(I302*H302,2)</f>
        <v>140.79</v>
      </c>
      <c r="K302" s="88" t="s">
        <v>82</v>
      </c>
      <c r="L302" s="16"/>
      <c r="M302" s="93" t="s">
        <v>0</v>
      </c>
      <c r="N302" s="94" t="s">
        <v>27</v>
      </c>
      <c r="O302" s="27"/>
      <c r="P302" s="95">
        <f>O302*H302</f>
        <v>0</v>
      </c>
      <c r="Q302" s="95">
        <v>0</v>
      </c>
      <c r="R302" s="95">
        <f>Q302*H302</f>
        <v>0</v>
      </c>
      <c r="S302" s="95">
        <v>0</v>
      </c>
      <c r="T302" s="96">
        <f>S302*H302</f>
        <v>0</v>
      </c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R302" s="97" t="s">
        <v>83</v>
      </c>
      <c r="AT302" s="97" t="s">
        <v>78</v>
      </c>
      <c r="AU302" s="97" t="s">
        <v>47</v>
      </c>
      <c r="AY302" s="10" t="s">
        <v>75</v>
      </c>
      <c r="BE302" s="98">
        <f>IF(N302="základní",J302,0)</f>
        <v>140.79</v>
      </c>
      <c r="BF302" s="98">
        <f>IF(N302="snížená",J302,0)</f>
        <v>0</v>
      </c>
      <c r="BG302" s="98">
        <f>IF(N302="zákl. přenesená",J302,0)</f>
        <v>0</v>
      </c>
      <c r="BH302" s="98">
        <f>IF(N302="sníž. přenesená",J302,0)</f>
        <v>0</v>
      </c>
      <c r="BI302" s="98">
        <f>IF(N302="nulová",J302,0)</f>
        <v>0</v>
      </c>
      <c r="BJ302" s="10" t="s">
        <v>46</v>
      </c>
      <c r="BK302" s="98">
        <f>ROUND(I302*H302,2)</f>
        <v>140.79</v>
      </c>
      <c r="BL302" s="10" t="s">
        <v>83</v>
      </c>
      <c r="BM302" s="97" t="s">
        <v>395</v>
      </c>
    </row>
    <row r="303" spans="1:65" s="1" customFormat="1" ht="29.25" x14ac:dyDescent="0.2">
      <c r="A303" s="156"/>
      <c r="B303" s="16"/>
      <c r="C303" s="156"/>
      <c r="D303" s="99" t="s">
        <v>84</v>
      </c>
      <c r="E303" s="156"/>
      <c r="F303" s="100" t="s">
        <v>188</v>
      </c>
      <c r="G303" s="156"/>
      <c r="H303" s="156"/>
      <c r="I303" s="101"/>
      <c r="J303" s="156"/>
      <c r="K303" s="156"/>
      <c r="L303" s="16"/>
      <c r="M303" s="102"/>
      <c r="N303" s="103"/>
      <c r="O303" s="27"/>
      <c r="P303" s="27"/>
      <c r="Q303" s="27"/>
      <c r="R303" s="27"/>
      <c r="S303" s="27"/>
      <c r="T303" s="28"/>
      <c r="U303" s="156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T303" s="10" t="s">
        <v>84</v>
      </c>
      <c r="AU303" s="10" t="s">
        <v>47</v>
      </c>
    </row>
    <row r="304" spans="1:65" s="7" customFormat="1" x14ac:dyDescent="0.2">
      <c r="B304" s="112"/>
      <c r="D304" s="99" t="s">
        <v>87</v>
      </c>
      <c r="E304" s="113" t="s">
        <v>0</v>
      </c>
      <c r="F304" s="114" t="s">
        <v>412</v>
      </c>
      <c r="H304" s="115">
        <v>2.8660000000000001</v>
      </c>
      <c r="I304" s="116"/>
      <c r="L304" s="112"/>
      <c r="M304" s="117"/>
      <c r="N304" s="118"/>
      <c r="O304" s="118"/>
      <c r="P304" s="118"/>
      <c r="Q304" s="118"/>
      <c r="R304" s="118"/>
      <c r="S304" s="118"/>
      <c r="T304" s="119"/>
      <c r="AT304" s="113" t="s">
        <v>87</v>
      </c>
      <c r="AU304" s="113" t="s">
        <v>47</v>
      </c>
      <c r="AV304" s="7" t="s">
        <v>47</v>
      </c>
      <c r="AW304" s="7" t="s">
        <v>19</v>
      </c>
      <c r="AX304" s="7" t="s">
        <v>45</v>
      </c>
      <c r="AY304" s="113" t="s">
        <v>75</v>
      </c>
    </row>
    <row r="305" spans="1:65" s="7" customFormat="1" x14ac:dyDescent="0.2">
      <c r="B305" s="112"/>
      <c r="D305" s="99" t="s">
        <v>87</v>
      </c>
      <c r="E305" s="113" t="s">
        <v>0</v>
      </c>
      <c r="F305" s="114" t="s">
        <v>185</v>
      </c>
      <c r="H305" s="115">
        <v>0.35799999999999998</v>
      </c>
      <c r="I305" s="116"/>
      <c r="L305" s="112"/>
      <c r="M305" s="117"/>
      <c r="N305" s="118"/>
      <c r="O305" s="118"/>
      <c r="P305" s="118"/>
      <c r="Q305" s="118"/>
      <c r="R305" s="118"/>
      <c r="S305" s="118"/>
      <c r="T305" s="119"/>
      <c r="AT305" s="113" t="s">
        <v>87</v>
      </c>
      <c r="AU305" s="113" t="s">
        <v>47</v>
      </c>
      <c r="AV305" s="7" t="s">
        <v>47</v>
      </c>
      <c r="AW305" s="7" t="s">
        <v>19</v>
      </c>
      <c r="AX305" s="7" t="s">
        <v>45</v>
      </c>
      <c r="AY305" s="113" t="s">
        <v>75</v>
      </c>
    </row>
    <row r="306" spans="1:65" s="9" customFormat="1" x14ac:dyDescent="0.2">
      <c r="B306" s="128"/>
      <c r="D306" s="99" t="s">
        <v>87</v>
      </c>
      <c r="E306" s="129" t="s">
        <v>0</v>
      </c>
      <c r="F306" s="130" t="s">
        <v>103</v>
      </c>
      <c r="H306" s="131">
        <f>H304+H305</f>
        <v>3.2240000000000002</v>
      </c>
      <c r="I306" s="132"/>
      <c r="L306" s="128"/>
      <c r="M306" s="133"/>
      <c r="N306" s="134"/>
      <c r="O306" s="134"/>
      <c r="P306" s="134"/>
      <c r="Q306" s="134"/>
      <c r="R306" s="134"/>
      <c r="S306" s="134"/>
      <c r="T306" s="135"/>
      <c r="AT306" s="129" t="s">
        <v>87</v>
      </c>
      <c r="AU306" s="129" t="s">
        <v>47</v>
      </c>
      <c r="AV306" s="9" t="s">
        <v>83</v>
      </c>
      <c r="AW306" s="9" t="s">
        <v>19</v>
      </c>
      <c r="AX306" s="9" t="s">
        <v>46</v>
      </c>
      <c r="AY306" s="129" t="s">
        <v>75</v>
      </c>
    </row>
    <row r="307" spans="1:65" s="7" customFormat="1" x14ac:dyDescent="0.2">
      <c r="B307" s="112"/>
      <c r="D307" s="99" t="s">
        <v>87</v>
      </c>
      <c r="F307" s="114" t="s">
        <v>513</v>
      </c>
      <c r="H307" s="115">
        <f>H306*14</f>
        <v>45.136000000000003</v>
      </c>
      <c r="I307" s="116"/>
      <c r="L307" s="112"/>
      <c r="M307" s="117"/>
      <c r="N307" s="118"/>
      <c r="O307" s="118"/>
      <c r="P307" s="118"/>
      <c r="Q307" s="118"/>
      <c r="R307" s="118"/>
      <c r="S307" s="118"/>
      <c r="T307" s="119"/>
      <c r="AT307" s="113" t="s">
        <v>87</v>
      </c>
      <c r="AU307" s="113" t="s">
        <v>47</v>
      </c>
      <c r="AV307" s="7" t="s">
        <v>47</v>
      </c>
      <c r="AW307" s="7" t="s">
        <v>1</v>
      </c>
      <c r="AX307" s="7" t="s">
        <v>46</v>
      </c>
      <c r="AY307" s="113" t="s">
        <v>75</v>
      </c>
    </row>
    <row r="308" spans="1:65" s="1" customFormat="1" ht="24.2" customHeight="1" x14ac:dyDescent="0.2">
      <c r="A308" s="156"/>
      <c r="B308" s="85"/>
      <c r="C308" s="86" t="s">
        <v>368</v>
      </c>
      <c r="D308" s="86" t="s">
        <v>78</v>
      </c>
      <c r="E308" s="87" t="s">
        <v>189</v>
      </c>
      <c r="F308" s="88" t="s">
        <v>190</v>
      </c>
      <c r="G308" s="89" t="s">
        <v>119</v>
      </c>
      <c r="H308" s="90">
        <v>3.2240000000000002</v>
      </c>
      <c r="I308" s="91">
        <v>155.98322812074767</v>
      </c>
      <c r="J308" s="92">
        <f>ROUND(I308*H308,2)</f>
        <v>502.89</v>
      </c>
      <c r="K308" s="88" t="s">
        <v>82</v>
      </c>
      <c r="L308" s="16"/>
      <c r="M308" s="93" t="s">
        <v>0</v>
      </c>
      <c r="N308" s="94" t="s">
        <v>27</v>
      </c>
      <c r="O308" s="27"/>
      <c r="P308" s="95">
        <f>O308*H308</f>
        <v>0</v>
      </c>
      <c r="Q308" s="95">
        <v>0</v>
      </c>
      <c r="R308" s="95">
        <f>Q308*H308</f>
        <v>0</v>
      </c>
      <c r="S308" s="95">
        <v>0</v>
      </c>
      <c r="T308" s="96">
        <f>S308*H308</f>
        <v>0</v>
      </c>
      <c r="U308" s="156"/>
      <c r="V308" s="156"/>
      <c r="W308" s="156"/>
      <c r="X308" s="156"/>
      <c r="Y308" s="156"/>
      <c r="Z308" s="156"/>
      <c r="AA308" s="156"/>
      <c r="AB308" s="156"/>
      <c r="AC308" s="156"/>
      <c r="AD308" s="156"/>
      <c r="AE308" s="156"/>
      <c r="AR308" s="97" t="s">
        <v>83</v>
      </c>
      <c r="AT308" s="97" t="s">
        <v>78</v>
      </c>
      <c r="AU308" s="97" t="s">
        <v>47</v>
      </c>
      <c r="AY308" s="10" t="s">
        <v>75</v>
      </c>
      <c r="BE308" s="98">
        <f>IF(N308="základní",J308,0)</f>
        <v>502.89</v>
      </c>
      <c r="BF308" s="98">
        <f>IF(N308="snížená",J308,0)</f>
        <v>0</v>
      </c>
      <c r="BG308" s="98">
        <f>IF(N308="zákl. přenesená",J308,0)</f>
        <v>0</v>
      </c>
      <c r="BH308" s="98">
        <f>IF(N308="sníž. přenesená",J308,0)</f>
        <v>0</v>
      </c>
      <c r="BI308" s="98">
        <f>IF(N308="nulová",J308,0)</f>
        <v>0</v>
      </c>
      <c r="BJ308" s="10" t="s">
        <v>46</v>
      </c>
      <c r="BK308" s="98">
        <f>ROUND(I308*H308,2)</f>
        <v>502.89</v>
      </c>
      <c r="BL308" s="10" t="s">
        <v>83</v>
      </c>
      <c r="BM308" s="97" t="s">
        <v>397</v>
      </c>
    </row>
    <row r="309" spans="1:65" s="1" customFormat="1" x14ac:dyDescent="0.2">
      <c r="A309" s="156"/>
      <c r="B309" s="16"/>
      <c r="C309" s="156"/>
      <c r="D309" s="99" t="s">
        <v>84</v>
      </c>
      <c r="E309" s="156"/>
      <c r="F309" s="100" t="s">
        <v>191</v>
      </c>
      <c r="G309" s="156"/>
      <c r="H309" s="156"/>
      <c r="I309" s="101"/>
      <c r="J309" s="156"/>
      <c r="K309" s="156"/>
      <c r="L309" s="16"/>
      <c r="M309" s="102"/>
      <c r="N309" s="103"/>
      <c r="O309" s="27"/>
      <c r="P309" s="27"/>
      <c r="Q309" s="27"/>
      <c r="R309" s="27"/>
      <c r="S309" s="27"/>
      <c r="T309" s="28"/>
      <c r="U309" s="156"/>
      <c r="V309" s="156"/>
      <c r="W309" s="156"/>
      <c r="X309" s="156"/>
      <c r="Y309" s="156"/>
      <c r="Z309" s="156"/>
      <c r="AA309" s="156"/>
      <c r="AB309" s="156"/>
      <c r="AC309" s="156"/>
      <c r="AD309" s="156"/>
      <c r="AE309" s="156"/>
      <c r="AT309" s="10" t="s">
        <v>84</v>
      </c>
      <c r="AU309" s="10" t="s">
        <v>47</v>
      </c>
    </row>
    <row r="310" spans="1:65" s="1" customFormat="1" ht="37.9" customHeight="1" x14ac:dyDescent="0.2">
      <c r="A310" s="156"/>
      <c r="B310" s="85"/>
      <c r="C310" s="86" t="s">
        <v>373</v>
      </c>
      <c r="D310" s="86" t="s">
        <v>78</v>
      </c>
      <c r="E310" s="87" t="s">
        <v>192</v>
      </c>
      <c r="F310" s="88" t="s">
        <v>120</v>
      </c>
      <c r="G310" s="89" t="s">
        <v>119</v>
      </c>
      <c r="H310" s="90">
        <v>2.8660000000000001</v>
      </c>
      <c r="I310" s="91">
        <v>110.6455721</v>
      </c>
      <c r="J310" s="92">
        <f>ROUND(I310*H310,2)</f>
        <v>317.11</v>
      </c>
      <c r="K310" s="88" t="s">
        <v>82</v>
      </c>
      <c r="L310" s="16"/>
      <c r="M310" s="93" t="s">
        <v>0</v>
      </c>
      <c r="N310" s="94" t="s">
        <v>27</v>
      </c>
      <c r="O310" s="27"/>
      <c r="P310" s="95">
        <f>O310*H310</f>
        <v>0</v>
      </c>
      <c r="Q310" s="95">
        <v>0</v>
      </c>
      <c r="R310" s="95">
        <f>Q310*H310</f>
        <v>0</v>
      </c>
      <c r="S310" s="95">
        <v>0</v>
      </c>
      <c r="T310" s="96">
        <f>S310*H310</f>
        <v>0</v>
      </c>
      <c r="U310" s="156"/>
      <c r="V310" s="156"/>
      <c r="W310" s="156"/>
      <c r="X310" s="156"/>
      <c r="Y310" s="156"/>
      <c r="Z310" s="156"/>
      <c r="AA310" s="156"/>
      <c r="AB310" s="156"/>
      <c r="AC310" s="156"/>
      <c r="AD310" s="156"/>
      <c r="AE310" s="156"/>
      <c r="AR310" s="97" t="s">
        <v>83</v>
      </c>
      <c r="AT310" s="97" t="s">
        <v>78</v>
      </c>
      <c r="AU310" s="97" t="s">
        <v>47</v>
      </c>
      <c r="AY310" s="10" t="s">
        <v>75</v>
      </c>
      <c r="BE310" s="98">
        <f>IF(N310="základní",J310,0)</f>
        <v>317.11</v>
      </c>
      <c r="BF310" s="98">
        <f>IF(N310="snížená",J310,0)</f>
        <v>0</v>
      </c>
      <c r="BG310" s="98">
        <f>IF(N310="zákl. přenesená",J310,0)</f>
        <v>0</v>
      </c>
      <c r="BH310" s="98">
        <f>IF(N310="sníž. přenesená",J310,0)</f>
        <v>0</v>
      </c>
      <c r="BI310" s="98">
        <f>IF(N310="nulová",J310,0)</f>
        <v>0</v>
      </c>
      <c r="BJ310" s="10" t="s">
        <v>46</v>
      </c>
      <c r="BK310" s="98">
        <f>ROUND(I310*H310,2)</f>
        <v>317.11</v>
      </c>
      <c r="BL310" s="10" t="s">
        <v>83</v>
      </c>
      <c r="BM310" s="97" t="s">
        <v>399</v>
      </c>
    </row>
    <row r="311" spans="1:65" s="1" customFormat="1" ht="29.25" x14ac:dyDescent="0.2">
      <c r="A311" s="156"/>
      <c r="B311" s="16"/>
      <c r="C311" s="156"/>
      <c r="D311" s="99" t="s">
        <v>84</v>
      </c>
      <c r="E311" s="156"/>
      <c r="F311" s="100" t="s">
        <v>120</v>
      </c>
      <c r="G311" s="156"/>
      <c r="H311" s="156"/>
      <c r="I311" s="101"/>
      <c r="J311" s="156"/>
      <c r="K311" s="156"/>
      <c r="L311" s="16"/>
      <c r="M311" s="102"/>
      <c r="N311" s="103"/>
      <c r="O311" s="27"/>
      <c r="P311" s="27"/>
      <c r="Q311" s="27"/>
      <c r="R311" s="27"/>
      <c r="S311" s="27"/>
      <c r="T311" s="28"/>
      <c r="U311" s="156"/>
      <c r="V311" s="156"/>
      <c r="W311" s="156"/>
      <c r="X311" s="156"/>
      <c r="Y311" s="156"/>
      <c r="Z311" s="156"/>
      <c r="AA311" s="156"/>
      <c r="AB311" s="156"/>
      <c r="AC311" s="156"/>
      <c r="AD311" s="156"/>
      <c r="AE311" s="156"/>
      <c r="AT311" s="10" t="s">
        <v>84</v>
      </c>
      <c r="AU311" s="10" t="s">
        <v>47</v>
      </c>
    </row>
    <row r="312" spans="1:65" s="7" customFormat="1" x14ac:dyDescent="0.2">
      <c r="B312" s="112"/>
      <c r="D312" s="99" t="s">
        <v>87</v>
      </c>
      <c r="E312" s="113" t="s">
        <v>0</v>
      </c>
      <c r="F312" s="114" t="s">
        <v>184</v>
      </c>
      <c r="H312" s="115">
        <v>2.8660000000000001</v>
      </c>
      <c r="I312" s="116"/>
      <c r="L312" s="112"/>
      <c r="M312" s="117"/>
      <c r="N312" s="118"/>
      <c r="O312" s="118"/>
      <c r="P312" s="118"/>
      <c r="Q312" s="118"/>
      <c r="R312" s="118"/>
      <c r="S312" s="118"/>
      <c r="T312" s="119"/>
      <c r="AT312" s="113" t="s">
        <v>87</v>
      </c>
      <c r="AU312" s="113" t="s">
        <v>47</v>
      </c>
      <c r="AV312" s="7" t="s">
        <v>47</v>
      </c>
      <c r="AW312" s="7" t="s">
        <v>19</v>
      </c>
      <c r="AX312" s="7" t="s">
        <v>46</v>
      </c>
      <c r="AY312" s="113" t="s">
        <v>75</v>
      </c>
    </row>
    <row r="313" spans="1:65" s="1" customFormat="1" ht="37.9" customHeight="1" x14ac:dyDescent="0.2">
      <c r="A313" s="156"/>
      <c r="B313" s="85"/>
      <c r="C313" s="86" t="s">
        <v>379</v>
      </c>
      <c r="D313" s="86" t="s">
        <v>78</v>
      </c>
      <c r="E313" s="87" t="s">
        <v>193</v>
      </c>
      <c r="F313" s="88" t="s">
        <v>194</v>
      </c>
      <c r="G313" s="89" t="s">
        <v>119</v>
      </c>
      <c r="H313" s="90">
        <v>0.35799999999999998</v>
      </c>
      <c r="I313" s="91">
        <v>250.3439285</v>
      </c>
      <c r="J313" s="92">
        <f>ROUND(I313*H313,2)</f>
        <v>89.62</v>
      </c>
      <c r="K313" s="88" t="s">
        <v>82</v>
      </c>
      <c r="L313" s="16"/>
      <c r="M313" s="93" t="s">
        <v>0</v>
      </c>
      <c r="N313" s="94" t="s">
        <v>27</v>
      </c>
      <c r="O313" s="27"/>
      <c r="P313" s="95">
        <f>O313*H313</f>
        <v>0</v>
      </c>
      <c r="Q313" s="95">
        <v>0</v>
      </c>
      <c r="R313" s="95">
        <f>Q313*H313</f>
        <v>0</v>
      </c>
      <c r="S313" s="95">
        <v>0</v>
      </c>
      <c r="T313" s="96">
        <f>S313*H313</f>
        <v>0</v>
      </c>
      <c r="U313" s="156"/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/>
      <c r="AR313" s="97" t="s">
        <v>83</v>
      </c>
      <c r="AT313" s="97" t="s">
        <v>78</v>
      </c>
      <c r="AU313" s="97" t="s">
        <v>47</v>
      </c>
      <c r="AY313" s="10" t="s">
        <v>75</v>
      </c>
      <c r="BE313" s="98">
        <f>IF(N313="základní",J313,0)</f>
        <v>89.62</v>
      </c>
      <c r="BF313" s="98">
        <f>IF(N313="snížená",J313,0)</f>
        <v>0</v>
      </c>
      <c r="BG313" s="98">
        <f>IF(N313="zákl. přenesená",J313,0)</f>
        <v>0</v>
      </c>
      <c r="BH313" s="98">
        <f>IF(N313="sníž. přenesená",J313,0)</f>
        <v>0</v>
      </c>
      <c r="BI313" s="98">
        <f>IF(N313="nulová",J313,0)</f>
        <v>0</v>
      </c>
      <c r="BJ313" s="10" t="s">
        <v>46</v>
      </c>
      <c r="BK313" s="98">
        <f>ROUND(I313*H313,2)</f>
        <v>89.62</v>
      </c>
      <c r="BL313" s="10" t="s">
        <v>83</v>
      </c>
      <c r="BM313" s="97" t="s">
        <v>401</v>
      </c>
    </row>
    <row r="314" spans="1:65" s="1" customFormat="1" ht="29.25" x14ac:dyDescent="0.2">
      <c r="A314" s="156"/>
      <c r="B314" s="16"/>
      <c r="C314" s="156"/>
      <c r="D314" s="99" t="s">
        <v>84</v>
      </c>
      <c r="E314" s="156"/>
      <c r="F314" s="100" t="s">
        <v>194</v>
      </c>
      <c r="G314" s="156"/>
      <c r="H314" s="156"/>
      <c r="I314" s="101"/>
      <c r="J314" s="156"/>
      <c r="K314" s="156"/>
      <c r="L314" s="16"/>
      <c r="M314" s="102"/>
      <c r="N314" s="103"/>
      <c r="O314" s="27"/>
      <c r="P314" s="27"/>
      <c r="Q314" s="27"/>
      <c r="R314" s="27"/>
      <c r="S314" s="27"/>
      <c r="T314" s="28"/>
      <c r="U314" s="156"/>
      <c r="V314" s="156"/>
      <c r="W314" s="156"/>
      <c r="X314" s="156"/>
      <c r="Y314" s="156"/>
      <c r="Z314" s="156"/>
      <c r="AA314" s="156"/>
      <c r="AB314" s="156"/>
      <c r="AC314" s="156"/>
      <c r="AD314" s="156"/>
      <c r="AE314" s="156"/>
      <c r="AT314" s="10" t="s">
        <v>84</v>
      </c>
      <c r="AU314" s="10" t="s">
        <v>47</v>
      </c>
    </row>
    <row r="315" spans="1:65" s="7" customFormat="1" x14ac:dyDescent="0.2">
      <c r="B315" s="112"/>
      <c r="D315" s="99" t="s">
        <v>87</v>
      </c>
      <c r="E315" s="113" t="s">
        <v>0</v>
      </c>
      <c r="F315" s="114" t="s">
        <v>185</v>
      </c>
      <c r="H315" s="115">
        <v>0.35799999999999998</v>
      </c>
      <c r="I315" s="116"/>
      <c r="L315" s="112"/>
      <c r="M315" s="117"/>
      <c r="N315" s="118"/>
      <c r="O315" s="118"/>
      <c r="P315" s="118"/>
      <c r="Q315" s="118"/>
      <c r="R315" s="118"/>
      <c r="S315" s="118"/>
      <c r="T315" s="119"/>
      <c r="AT315" s="113" t="s">
        <v>87</v>
      </c>
      <c r="AU315" s="113" t="s">
        <v>47</v>
      </c>
      <c r="AV315" s="7" t="s">
        <v>47</v>
      </c>
      <c r="AW315" s="7" t="s">
        <v>19</v>
      </c>
      <c r="AX315" s="7" t="s">
        <v>46</v>
      </c>
      <c r="AY315" s="113" t="s">
        <v>75</v>
      </c>
    </row>
    <row r="316" spans="1:65" s="5" customFormat="1" ht="22.9" customHeight="1" x14ac:dyDescent="0.2">
      <c r="B316" s="72"/>
      <c r="D316" s="73" t="s">
        <v>44</v>
      </c>
      <c r="E316" s="83" t="s">
        <v>136</v>
      </c>
      <c r="F316" s="83" t="s">
        <v>137</v>
      </c>
      <c r="I316" s="75"/>
      <c r="J316" s="84">
        <f>BK316</f>
        <v>361.91</v>
      </c>
      <c r="L316" s="72"/>
      <c r="M316" s="77"/>
      <c r="N316" s="78"/>
      <c r="O316" s="78"/>
      <c r="P316" s="79">
        <f>SUM(P317:P318)</f>
        <v>0</v>
      </c>
      <c r="Q316" s="78"/>
      <c r="R316" s="79">
        <f>SUM(R317:R318)</f>
        <v>0</v>
      </c>
      <c r="S316" s="78"/>
      <c r="T316" s="80">
        <f>SUM(T317:T318)</f>
        <v>0</v>
      </c>
      <c r="AR316" s="73" t="s">
        <v>46</v>
      </c>
      <c r="AT316" s="81" t="s">
        <v>44</v>
      </c>
      <c r="AU316" s="81" t="s">
        <v>46</v>
      </c>
      <c r="AY316" s="73" t="s">
        <v>75</v>
      </c>
      <c r="BK316" s="82">
        <f>SUM(BK317:BK318)</f>
        <v>361.91</v>
      </c>
    </row>
    <row r="317" spans="1:65" s="1" customFormat="1" ht="24.2" customHeight="1" x14ac:dyDescent="0.2">
      <c r="A317" s="156"/>
      <c r="B317" s="85"/>
      <c r="C317" s="86" t="s">
        <v>385</v>
      </c>
      <c r="D317" s="86" t="s">
        <v>78</v>
      </c>
      <c r="E317" s="87" t="s">
        <v>403</v>
      </c>
      <c r="F317" s="88" t="s">
        <v>404</v>
      </c>
      <c r="G317" s="89" t="s">
        <v>119</v>
      </c>
      <c r="H317" s="90">
        <v>0.4</v>
      </c>
      <c r="I317" s="91">
        <v>904.78117744148574</v>
      </c>
      <c r="J317" s="92">
        <f>ROUND(I317*H317,2)</f>
        <v>361.91</v>
      </c>
      <c r="K317" s="88" t="s">
        <v>82</v>
      </c>
      <c r="L317" s="16"/>
      <c r="M317" s="93" t="s">
        <v>0</v>
      </c>
      <c r="N317" s="94" t="s">
        <v>27</v>
      </c>
      <c r="O317" s="27"/>
      <c r="P317" s="95">
        <f>O317*H317</f>
        <v>0</v>
      </c>
      <c r="Q317" s="95">
        <v>0</v>
      </c>
      <c r="R317" s="95">
        <f>Q317*H317</f>
        <v>0</v>
      </c>
      <c r="S317" s="95">
        <v>0</v>
      </c>
      <c r="T317" s="96">
        <f>S317*H317</f>
        <v>0</v>
      </c>
      <c r="U317" s="156"/>
      <c r="V317" s="156"/>
      <c r="W317" s="156"/>
      <c r="X317" s="156"/>
      <c r="Y317" s="156"/>
      <c r="Z317" s="156"/>
      <c r="AA317" s="156"/>
      <c r="AB317" s="156"/>
      <c r="AC317" s="156"/>
      <c r="AD317" s="156"/>
      <c r="AE317" s="156"/>
      <c r="AR317" s="97" t="s">
        <v>83</v>
      </c>
      <c r="AT317" s="97" t="s">
        <v>78</v>
      </c>
      <c r="AU317" s="97" t="s">
        <v>47</v>
      </c>
      <c r="AY317" s="10" t="s">
        <v>75</v>
      </c>
      <c r="BE317" s="98">
        <f>IF(N317="základní",J317,0)</f>
        <v>361.91</v>
      </c>
      <c r="BF317" s="98">
        <f>IF(N317="snížená",J317,0)</f>
        <v>0</v>
      </c>
      <c r="BG317" s="98">
        <f>IF(N317="zákl. přenesená",J317,0)</f>
        <v>0</v>
      </c>
      <c r="BH317" s="98">
        <f>IF(N317="sníž. přenesená",J317,0)</f>
        <v>0</v>
      </c>
      <c r="BI317" s="98">
        <f>IF(N317="nulová",J317,0)</f>
        <v>0</v>
      </c>
      <c r="BJ317" s="10" t="s">
        <v>46</v>
      </c>
      <c r="BK317" s="98">
        <f>ROUND(I317*H317,2)</f>
        <v>361.91</v>
      </c>
      <c r="BL317" s="10" t="s">
        <v>83</v>
      </c>
      <c r="BM317" s="97" t="s">
        <v>405</v>
      </c>
    </row>
    <row r="318" spans="1:65" s="1" customFormat="1" ht="29.25" x14ac:dyDescent="0.2">
      <c r="A318" s="156"/>
      <c r="B318" s="16"/>
      <c r="C318" s="156"/>
      <c r="D318" s="99" t="s">
        <v>84</v>
      </c>
      <c r="E318" s="156"/>
      <c r="F318" s="100" t="s">
        <v>406</v>
      </c>
      <c r="G318" s="156"/>
      <c r="H318" s="156"/>
      <c r="I318" s="101"/>
      <c r="J318" s="156"/>
      <c r="K318" s="156"/>
      <c r="L318" s="16"/>
      <c r="M318" s="102"/>
      <c r="N318" s="103"/>
      <c r="O318" s="27"/>
      <c r="P318" s="27"/>
      <c r="Q318" s="27"/>
      <c r="R318" s="27"/>
      <c r="S318" s="27"/>
      <c r="T318" s="28"/>
      <c r="U318" s="156"/>
      <c r="V318" s="156"/>
      <c r="W318" s="156"/>
      <c r="X318" s="156"/>
      <c r="Y318" s="156"/>
      <c r="Z318" s="156"/>
      <c r="AA318" s="156"/>
      <c r="AB318" s="156"/>
      <c r="AC318" s="156"/>
      <c r="AD318" s="156"/>
      <c r="AE318" s="156"/>
      <c r="AT318" s="10" t="s">
        <v>84</v>
      </c>
      <c r="AU318" s="10" t="s">
        <v>47</v>
      </c>
    </row>
    <row r="319" spans="1:65" s="1" customFormat="1" ht="6.95" customHeight="1" x14ac:dyDescent="0.2">
      <c r="A319" s="156"/>
      <c r="B319" s="22"/>
      <c r="C319" s="23"/>
      <c r="D319" s="23"/>
      <c r="E319" s="23"/>
      <c r="F319" s="23"/>
      <c r="G319" s="23"/>
      <c r="H319" s="23"/>
      <c r="I319" s="23"/>
      <c r="J319" s="23"/>
      <c r="K319" s="23"/>
      <c r="L319" s="16"/>
      <c r="M319" s="156"/>
      <c r="O319" s="156"/>
      <c r="P319" s="156"/>
      <c r="Q319" s="156"/>
      <c r="R319" s="156"/>
      <c r="S319" s="156"/>
      <c r="T319" s="156"/>
      <c r="U319" s="156"/>
      <c r="V319" s="156"/>
      <c r="W319" s="156"/>
      <c r="X319" s="156"/>
      <c r="Y319" s="156"/>
      <c r="Z319" s="156"/>
      <c r="AA319" s="156"/>
      <c r="AB319" s="156"/>
      <c r="AC319" s="156"/>
      <c r="AD319" s="156"/>
      <c r="AE319" s="156"/>
    </row>
  </sheetData>
  <autoFilter ref="C130:K318"/>
  <mergeCells count="15">
    <mergeCell ref="E22:H22"/>
    <mergeCell ref="L2:V2"/>
    <mergeCell ref="E7:H7"/>
    <mergeCell ref="E9:H9"/>
    <mergeCell ref="E11:H11"/>
    <mergeCell ref="E13:H13"/>
    <mergeCell ref="E119:H119"/>
    <mergeCell ref="E121:H121"/>
    <mergeCell ref="E123:H123"/>
    <mergeCell ref="E31:H31"/>
    <mergeCell ref="E84:H84"/>
    <mergeCell ref="E86:H86"/>
    <mergeCell ref="E88:H88"/>
    <mergeCell ref="E90:H90"/>
    <mergeCell ref="E117:H117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1"/>
  <sheetViews>
    <sheetView windowProtection="1" showGridLines="0" topLeftCell="A105" workbookViewId="0">
      <selection activeCell="E14" sqref="E14"/>
    </sheetView>
  </sheetViews>
  <sheetFormatPr defaultRowHeight="11.25" x14ac:dyDescent="0.2"/>
  <cols>
    <col min="1" max="1" width="8.33203125" style="146" customWidth="1"/>
    <col min="2" max="2" width="1.1640625" style="146" customWidth="1"/>
    <col min="3" max="3" width="4.1640625" style="146" customWidth="1"/>
    <col min="4" max="4" width="4.33203125" style="146" customWidth="1"/>
    <col min="5" max="5" width="17.1640625" style="146" customWidth="1"/>
    <col min="6" max="6" width="50.83203125" style="146" customWidth="1"/>
    <col min="7" max="7" width="7.5" style="146" customWidth="1"/>
    <col min="8" max="8" width="11.5" style="146" customWidth="1"/>
    <col min="9" max="11" width="20.1640625" style="146" customWidth="1"/>
    <col min="12" max="12" width="9.33203125" style="146" customWidth="1"/>
    <col min="13" max="13" width="10.83203125" style="146" hidden="1" customWidth="1"/>
    <col min="14" max="14" width="9.33203125" style="146"/>
    <col min="15" max="20" width="14.1640625" style="146" hidden="1" customWidth="1"/>
    <col min="21" max="21" width="16.33203125" style="146" hidden="1" customWidth="1"/>
    <col min="22" max="22" width="12.33203125" style="146" customWidth="1"/>
    <col min="23" max="23" width="16.33203125" style="146" customWidth="1"/>
    <col min="24" max="24" width="12.33203125" style="146" customWidth="1"/>
    <col min="25" max="25" width="15" style="146" customWidth="1"/>
    <col min="26" max="26" width="11" style="146" customWidth="1"/>
    <col min="27" max="27" width="15" style="146" customWidth="1"/>
    <col min="28" max="28" width="16.33203125" style="146" customWidth="1"/>
    <col min="29" max="29" width="11" style="146" customWidth="1"/>
    <col min="30" max="30" width="15" style="146" customWidth="1"/>
    <col min="31" max="31" width="16.33203125" style="146" customWidth="1"/>
    <col min="32" max="16384" width="9.33203125" style="146"/>
  </cols>
  <sheetData>
    <row r="2" spans="1:46" ht="36.950000000000003" customHeight="1" x14ac:dyDescent="0.2">
      <c r="L2" s="204" t="s">
        <v>2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0" t="s">
        <v>198</v>
      </c>
    </row>
    <row r="3" spans="1:46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47</v>
      </c>
    </row>
    <row r="4" spans="1:46" ht="24.95" customHeight="1" x14ac:dyDescent="0.2">
      <c r="B4" s="13"/>
      <c r="D4" s="14" t="s">
        <v>49</v>
      </c>
      <c r="L4" s="13"/>
      <c r="M4" s="36" t="s">
        <v>5</v>
      </c>
      <c r="AT4" s="10" t="s">
        <v>1</v>
      </c>
    </row>
    <row r="5" spans="1:46" ht="6.95" customHeight="1" x14ac:dyDescent="0.2">
      <c r="B5" s="13"/>
      <c r="L5" s="13"/>
    </row>
    <row r="6" spans="1:46" ht="12" customHeight="1" x14ac:dyDescent="0.2">
      <c r="B6" s="13"/>
      <c r="D6" s="154" t="s">
        <v>6</v>
      </c>
      <c r="L6" s="13"/>
    </row>
    <row r="7" spans="1:46" ht="16.5" customHeight="1" x14ac:dyDescent="0.2">
      <c r="B7" s="13"/>
      <c r="E7" s="195" t="e">
        <f>#REF!</f>
        <v>#REF!</v>
      </c>
      <c r="F7" s="201"/>
      <c r="G7" s="201"/>
      <c r="H7" s="201"/>
      <c r="L7" s="13"/>
    </row>
    <row r="8" spans="1:46" ht="12.75" x14ac:dyDescent="0.2">
      <c r="B8" s="13"/>
      <c r="D8" s="154" t="s">
        <v>50</v>
      </c>
      <c r="L8" s="13"/>
    </row>
    <row r="9" spans="1:46" ht="16.5" customHeight="1" x14ac:dyDescent="0.2">
      <c r="B9" s="13"/>
      <c r="E9" s="195" t="s">
        <v>51</v>
      </c>
      <c r="F9" s="196"/>
      <c r="G9" s="196"/>
      <c r="H9" s="196"/>
      <c r="L9" s="13"/>
    </row>
    <row r="10" spans="1:46" ht="12" customHeight="1" x14ac:dyDescent="0.2">
      <c r="B10" s="13"/>
      <c r="D10" s="154" t="s">
        <v>52</v>
      </c>
      <c r="L10" s="13"/>
    </row>
    <row r="11" spans="1:46" s="1" customFormat="1" ht="16.5" customHeight="1" x14ac:dyDescent="0.2">
      <c r="A11" s="156"/>
      <c r="B11" s="16"/>
      <c r="C11" s="156"/>
      <c r="D11" s="156"/>
      <c r="E11" s="197" t="s">
        <v>201</v>
      </c>
      <c r="F11" s="198"/>
      <c r="G11" s="198"/>
      <c r="H11" s="198"/>
      <c r="I11" s="156"/>
      <c r="J11" s="156"/>
      <c r="K11" s="156"/>
      <c r="L11" s="17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</row>
    <row r="12" spans="1:46" s="1" customFormat="1" ht="12" customHeight="1" x14ac:dyDescent="0.2">
      <c r="A12" s="156"/>
      <c r="B12" s="16"/>
      <c r="C12" s="156"/>
      <c r="D12" s="154" t="s">
        <v>202</v>
      </c>
      <c r="E12" s="156"/>
      <c r="F12" s="156"/>
      <c r="G12" s="156"/>
      <c r="H12" s="156"/>
      <c r="I12" s="156"/>
      <c r="J12" s="156"/>
      <c r="K12" s="156"/>
      <c r="L12" s="17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</row>
    <row r="13" spans="1:46" s="1" customFormat="1" ht="30" customHeight="1" x14ac:dyDescent="0.2">
      <c r="A13" s="156"/>
      <c r="B13" s="16"/>
      <c r="C13" s="156"/>
      <c r="D13" s="156"/>
      <c r="E13" s="199" t="s">
        <v>561</v>
      </c>
      <c r="F13" s="198"/>
      <c r="G13" s="198"/>
      <c r="H13" s="198"/>
      <c r="I13" s="156"/>
      <c r="J13" s="156"/>
      <c r="K13" s="156"/>
      <c r="L13" s="17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</row>
    <row r="14" spans="1:46" s="1" customFormat="1" x14ac:dyDescent="0.2">
      <c r="A14" s="156"/>
      <c r="B14" s="16"/>
      <c r="C14" s="156"/>
      <c r="D14" s="156"/>
      <c r="E14" s="156"/>
      <c r="F14" s="156"/>
      <c r="G14" s="156"/>
      <c r="H14" s="156"/>
      <c r="I14" s="156"/>
      <c r="J14" s="156"/>
      <c r="K14" s="156"/>
      <c r="L14" s="17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</row>
    <row r="15" spans="1:46" s="1" customFormat="1" ht="12" customHeight="1" x14ac:dyDescent="0.2">
      <c r="A15" s="156"/>
      <c r="B15" s="16"/>
      <c r="C15" s="156"/>
      <c r="D15" s="154" t="s">
        <v>7</v>
      </c>
      <c r="E15" s="156"/>
      <c r="F15" s="147" t="s">
        <v>0</v>
      </c>
      <c r="G15" s="156"/>
      <c r="H15" s="156"/>
      <c r="I15" s="154" t="s">
        <v>8</v>
      </c>
      <c r="J15" s="147" t="s">
        <v>203</v>
      </c>
      <c r="K15" s="156"/>
      <c r="L15" s="17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</row>
    <row r="16" spans="1:46" s="1" customFormat="1" ht="12" customHeight="1" x14ac:dyDescent="0.2">
      <c r="A16" s="156"/>
      <c r="B16" s="16"/>
      <c r="C16" s="156"/>
      <c r="D16" s="154" t="s">
        <v>9</v>
      </c>
      <c r="E16" s="156"/>
      <c r="F16" s="147" t="s">
        <v>10</v>
      </c>
      <c r="G16" s="156"/>
      <c r="H16" s="156"/>
      <c r="I16" s="154" t="s">
        <v>11</v>
      </c>
      <c r="J16" s="153" t="e">
        <f>#REF!</f>
        <v>#REF!</v>
      </c>
      <c r="K16" s="156"/>
      <c r="L16" s="17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</row>
    <row r="17" spans="1:31" s="1" customFormat="1" ht="21.75" customHeight="1" x14ac:dyDescent="0.2">
      <c r="A17" s="156"/>
      <c r="B17" s="16"/>
      <c r="C17" s="156"/>
      <c r="D17" s="15" t="s">
        <v>204</v>
      </c>
      <c r="E17" s="156"/>
      <c r="F17" s="166" t="s">
        <v>205</v>
      </c>
      <c r="G17" s="156"/>
      <c r="H17" s="156"/>
      <c r="I17" s="156"/>
      <c r="J17" s="156"/>
      <c r="K17" s="156"/>
      <c r="L17" s="17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</row>
    <row r="18" spans="1:31" s="1" customFormat="1" ht="12" customHeight="1" x14ac:dyDescent="0.2">
      <c r="A18" s="156"/>
      <c r="B18" s="16"/>
      <c r="C18" s="156"/>
      <c r="D18" s="154" t="s">
        <v>12</v>
      </c>
      <c r="E18" s="156"/>
      <c r="F18" s="156"/>
      <c r="G18" s="156"/>
      <c r="H18" s="156"/>
      <c r="I18" s="154" t="s">
        <v>13</v>
      </c>
      <c r="J18" s="147" t="s">
        <v>0</v>
      </c>
      <c r="K18" s="156"/>
      <c r="L18" s="17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</row>
    <row r="19" spans="1:31" s="1" customFormat="1" ht="18" customHeight="1" x14ac:dyDescent="0.2">
      <c r="A19" s="156"/>
      <c r="B19" s="16"/>
      <c r="C19" s="156"/>
      <c r="D19" s="156"/>
      <c r="E19" s="147" t="s">
        <v>14</v>
      </c>
      <c r="F19" s="156"/>
      <c r="G19" s="156"/>
      <c r="H19" s="156"/>
      <c r="I19" s="154" t="s">
        <v>15</v>
      </c>
      <c r="J19" s="147" t="s">
        <v>0</v>
      </c>
      <c r="K19" s="156"/>
      <c r="L19" s="17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</row>
    <row r="20" spans="1:31" s="1" customFormat="1" ht="6.95" customHeight="1" x14ac:dyDescent="0.2">
      <c r="A20" s="156"/>
      <c r="B20" s="16"/>
      <c r="C20" s="156"/>
      <c r="D20" s="156"/>
      <c r="E20" s="156"/>
      <c r="F20" s="156"/>
      <c r="G20" s="156"/>
      <c r="H20" s="156"/>
      <c r="I20" s="156"/>
      <c r="J20" s="156"/>
      <c r="K20" s="156"/>
      <c r="L20" s="17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</row>
    <row r="21" spans="1:31" s="1" customFormat="1" ht="12" customHeight="1" x14ac:dyDescent="0.2">
      <c r="A21" s="156"/>
      <c r="B21" s="16"/>
      <c r="C21" s="156"/>
      <c r="D21" s="154" t="s">
        <v>16</v>
      </c>
      <c r="E21" s="156"/>
      <c r="F21" s="156"/>
      <c r="G21" s="156"/>
      <c r="H21" s="156"/>
      <c r="I21" s="154" t="s">
        <v>13</v>
      </c>
      <c r="J21" s="157" t="e">
        <f>#REF!</f>
        <v>#REF!</v>
      </c>
      <c r="K21" s="156"/>
      <c r="L21" s="17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</row>
    <row r="22" spans="1:31" s="1" customFormat="1" ht="18" customHeight="1" x14ac:dyDescent="0.2">
      <c r="A22" s="156"/>
      <c r="B22" s="16"/>
      <c r="C22" s="156"/>
      <c r="D22" s="156"/>
      <c r="E22" s="202" t="e">
        <f>#REF!</f>
        <v>#REF!</v>
      </c>
      <c r="F22" s="203"/>
      <c r="G22" s="203"/>
      <c r="H22" s="203"/>
      <c r="I22" s="154" t="s">
        <v>15</v>
      </c>
      <c r="J22" s="157" t="e">
        <f>#REF!</f>
        <v>#REF!</v>
      </c>
      <c r="K22" s="156"/>
      <c r="L22" s="17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</row>
    <row r="23" spans="1:31" s="1" customFormat="1" ht="6.95" customHeight="1" x14ac:dyDescent="0.2">
      <c r="A23" s="156"/>
      <c r="B23" s="16"/>
      <c r="C23" s="156"/>
      <c r="D23" s="156"/>
      <c r="E23" s="156"/>
      <c r="F23" s="156"/>
      <c r="G23" s="156"/>
      <c r="H23" s="156"/>
      <c r="I23" s="156"/>
      <c r="J23" s="156"/>
      <c r="K23" s="156"/>
      <c r="L23" s="17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</row>
    <row r="24" spans="1:31" s="1" customFormat="1" ht="12" customHeight="1" x14ac:dyDescent="0.2">
      <c r="A24" s="156"/>
      <c r="B24" s="16"/>
      <c r="C24" s="156"/>
      <c r="D24" s="154" t="s">
        <v>17</v>
      </c>
      <c r="E24" s="156"/>
      <c r="F24" s="156"/>
      <c r="G24" s="156"/>
      <c r="H24" s="156"/>
      <c r="I24" s="154" t="s">
        <v>13</v>
      </c>
      <c r="J24" s="147" t="s">
        <v>0</v>
      </c>
      <c r="K24" s="156"/>
      <c r="L24" s="17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</row>
    <row r="25" spans="1:31" s="1" customFormat="1" ht="18" customHeight="1" x14ac:dyDescent="0.2">
      <c r="A25" s="156"/>
      <c r="B25" s="16"/>
      <c r="C25" s="156"/>
      <c r="D25" s="156"/>
      <c r="E25" s="147" t="s">
        <v>18</v>
      </c>
      <c r="F25" s="156"/>
      <c r="G25" s="156"/>
      <c r="H25" s="156"/>
      <c r="I25" s="154" t="s">
        <v>15</v>
      </c>
      <c r="J25" s="147" t="s">
        <v>0</v>
      </c>
      <c r="K25" s="156"/>
      <c r="L25" s="17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pans="1:31" s="1" customFormat="1" ht="6.95" customHeight="1" x14ac:dyDescent="0.2">
      <c r="A26" s="156"/>
      <c r="B26" s="16"/>
      <c r="C26" s="156"/>
      <c r="D26" s="156"/>
      <c r="E26" s="156"/>
      <c r="F26" s="156"/>
      <c r="G26" s="156"/>
      <c r="H26" s="156"/>
      <c r="I26" s="156"/>
      <c r="J26" s="156"/>
      <c r="K26" s="156"/>
      <c r="L26" s="17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</row>
    <row r="27" spans="1:31" s="1" customFormat="1" ht="12" customHeight="1" x14ac:dyDescent="0.2">
      <c r="A27" s="156"/>
      <c r="B27" s="16"/>
      <c r="C27" s="156"/>
      <c r="D27" s="154" t="s">
        <v>20</v>
      </c>
      <c r="E27" s="156"/>
      <c r="F27" s="156"/>
      <c r="G27" s="156"/>
      <c r="H27" s="156"/>
      <c r="I27" s="154" t="s">
        <v>13</v>
      </c>
      <c r="J27" s="147" t="e">
        <f>IF(#REF!="","",#REF!)</f>
        <v>#REF!</v>
      </c>
      <c r="K27" s="156"/>
      <c r="L27" s="17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pans="1:31" s="1" customFormat="1" ht="18" customHeight="1" x14ac:dyDescent="0.2">
      <c r="A28" s="156"/>
      <c r="B28" s="16"/>
      <c r="C28" s="156"/>
      <c r="D28" s="156"/>
      <c r="E28" s="147" t="e">
        <f>IF(#REF!="","",#REF!)</f>
        <v>#REF!</v>
      </c>
      <c r="F28" s="156"/>
      <c r="G28" s="156"/>
      <c r="H28" s="156"/>
      <c r="I28" s="154" t="s">
        <v>15</v>
      </c>
      <c r="J28" s="147" t="e">
        <f>IF(#REF!="","",#REF!)</f>
        <v>#REF!</v>
      </c>
      <c r="K28" s="156"/>
      <c r="L28" s="17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</row>
    <row r="29" spans="1:31" s="1" customFormat="1" ht="6.95" customHeight="1" x14ac:dyDescent="0.2">
      <c r="A29" s="156"/>
      <c r="B29" s="16"/>
      <c r="C29" s="156"/>
      <c r="D29" s="156"/>
      <c r="E29" s="156"/>
      <c r="F29" s="156"/>
      <c r="G29" s="156"/>
      <c r="H29" s="156"/>
      <c r="I29" s="156"/>
      <c r="J29" s="156"/>
      <c r="K29" s="156"/>
      <c r="L29" s="17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pans="1:31" s="1" customFormat="1" ht="12" customHeight="1" x14ac:dyDescent="0.2">
      <c r="A30" s="156"/>
      <c r="B30" s="16"/>
      <c r="C30" s="156"/>
      <c r="D30" s="154" t="s">
        <v>21</v>
      </c>
      <c r="E30" s="156"/>
      <c r="F30" s="156"/>
      <c r="G30" s="156"/>
      <c r="H30" s="156"/>
      <c r="I30" s="156"/>
      <c r="J30" s="156"/>
      <c r="K30" s="156"/>
      <c r="L30" s="17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</row>
    <row r="31" spans="1:31" s="2" customFormat="1" ht="16.5" customHeight="1" x14ac:dyDescent="0.2">
      <c r="A31" s="37"/>
      <c r="B31" s="38"/>
      <c r="C31" s="37"/>
      <c r="D31" s="37"/>
      <c r="E31" s="200" t="s">
        <v>0</v>
      </c>
      <c r="F31" s="200"/>
      <c r="G31" s="200"/>
      <c r="H31" s="200"/>
      <c r="I31" s="37"/>
      <c r="J31" s="37"/>
      <c r="K31" s="37"/>
      <c r="L31" s="3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1" customFormat="1" ht="6.95" customHeight="1" x14ac:dyDescent="0.2">
      <c r="A32" s="156"/>
      <c r="B32" s="16"/>
      <c r="C32" s="156"/>
      <c r="D32" s="156"/>
      <c r="E32" s="156"/>
      <c r="F32" s="156"/>
      <c r="G32" s="156"/>
      <c r="H32" s="156"/>
      <c r="I32" s="156"/>
      <c r="J32" s="156"/>
      <c r="K32" s="156"/>
      <c r="L32" s="17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</row>
    <row r="33" spans="1:31" s="1" customFormat="1" ht="6.95" customHeight="1" x14ac:dyDescent="0.2">
      <c r="A33" s="156"/>
      <c r="B33" s="16"/>
      <c r="C33" s="156"/>
      <c r="D33" s="34"/>
      <c r="E33" s="34"/>
      <c r="F33" s="34"/>
      <c r="G33" s="34"/>
      <c r="H33" s="34"/>
      <c r="I33" s="34"/>
      <c r="J33" s="34"/>
      <c r="K33" s="34"/>
      <c r="L33" s="17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</row>
    <row r="34" spans="1:31" s="1" customFormat="1" ht="25.35" customHeight="1" x14ac:dyDescent="0.2">
      <c r="A34" s="156"/>
      <c r="B34" s="16"/>
      <c r="C34" s="156"/>
      <c r="D34" s="40" t="s">
        <v>22</v>
      </c>
      <c r="E34" s="156"/>
      <c r="F34" s="156"/>
      <c r="G34" s="156"/>
      <c r="H34" s="156"/>
      <c r="I34" s="156"/>
      <c r="J34" s="152">
        <f>ROUND(J131, 2)</f>
        <v>60223.93</v>
      </c>
      <c r="K34" s="156"/>
      <c r="L34" s="17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</row>
    <row r="35" spans="1:31" s="1" customFormat="1" ht="6.95" customHeight="1" x14ac:dyDescent="0.2">
      <c r="A35" s="156"/>
      <c r="B35" s="16"/>
      <c r="C35" s="156"/>
      <c r="D35" s="34"/>
      <c r="E35" s="34"/>
      <c r="F35" s="34"/>
      <c r="G35" s="34"/>
      <c r="H35" s="34"/>
      <c r="I35" s="34"/>
      <c r="J35" s="34"/>
      <c r="K35" s="34"/>
      <c r="L35" s="17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</row>
    <row r="36" spans="1:31" s="1" customFormat="1" ht="14.45" customHeight="1" x14ac:dyDescent="0.2">
      <c r="A36" s="156"/>
      <c r="B36" s="16"/>
      <c r="C36" s="156"/>
      <c r="D36" s="156"/>
      <c r="E36" s="156"/>
      <c r="F36" s="150" t="s">
        <v>24</v>
      </c>
      <c r="G36" s="156"/>
      <c r="H36" s="156"/>
      <c r="I36" s="150" t="s">
        <v>23</v>
      </c>
      <c r="J36" s="150" t="s">
        <v>25</v>
      </c>
      <c r="K36" s="156"/>
      <c r="L36" s="17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</row>
    <row r="37" spans="1:31" s="1" customFormat="1" ht="14.45" customHeight="1" x14ac:dyDescent="0.2">
      <c r="A37" s="156"/>
      <c r="B37" s="16"/>
      <c r="C37" s="156"/>
      <c r="D37" s="155" t="s">
        <v>26</v>
      </c>
      <c r="E37" s="154" t="s">
        <v>27</v>
      </c>
      <c r="F37" s="41">
        <f>ROUND((SUM(BE131:BE310)),  2)</f>
        <v>60223.93</v>
      </c>
      <c r="G37" s="156"/>
      <c r="H37" s="156"/>
      <c r="I37" s="42">
        <v>0.21</v>
      </c>
      <c r="J37" s="41">
        <f>ROUND(((SUM(BE131:BE310))*I37),  2)</f>
        <v>12647.03</v>
      </c>
      <c r="K37" s="156"/>
      <c r="L37" s="17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</row>
    <row r="38" spans="1:31" s="1" customFormat="1" ht="14.45" customHeight="1" x14ac:dyDescent="0.2">
      <c r="A38" s="156"/>
      <c r="B38" s="16"/>
      <c r="C38" s="156"/>
      <c r="D38" s="156"/>
      <c r="E38" s="154" t="s">
        <v>28</v>
      </c>
      <c r="F38" s="41">
        <f>ROUND((SUM(BF131:BF310)),  2)</f>
        <v>0</v>
      </c>
      <c r="G38" s="156"/>
      <c r="H38" s="156"/>
      <c r="I38" s="42">
        <v>0.15</v>
      </c>
      <c r="J38" s="41">
        <f>ROUND(((SUM(BF131:BF310))*I38),  2)</f>
        <v>0</v>
      </c>
      <c r="K38" s="156"/>
      <c r="L38" s="17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</row>
    <row r="39" spans="1:31" s="1" customFormat="1" ht="14.45" hidden="1" customHeight="1" x14ac:dyDescent="0.2">
      <c r="A39" s="156"/>
      <c r="B39" s="16"/>
      <c r="C39" s="156"/>
      <c r="D39" s="156"/>
      <c r="E39" s="154" t="s">
        <v>29</v>
      </c>
      <c r="F39" s="41">
        <f>ROUND((SUM(BG131:BG310)),  2)</f>
        <v>0</v>
      </c>
      <c r="G39" s="156"/>
      <c r="H39" s="156"/>
      <c r="I39" s="42">
        <v>0.21</v>
      </c>
      <c r="J39" s="41">
        <f>0</f>
        <v>0</v>
      </c>
      <c r="K39" s="156"/>
      <c r="L39" s="17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</row>
    <row r="40" spans="1:31" s="1" customFormat="1" ht="14.45" hidden="1" customHeight="1" x14ac:dyDescent="0.2">
      <c r="A40" s="156"/>
      <c r="B40" s="16"/>
      <c r="C40" s="156"/>
      <c r="D40" s="156"/>
      <c r="E40" s="154" t="s">
        <v>30</v>
      </c>
      <c r="F40" s="41">
        <f>ROUND((SUM(BH131:BH310)),  2)</f>
        <v>0</v>
      </c>
      <c r="G40" s="156"/>
      <c r="H40" s="156"/>
      <c r="I40" s="42">
        <v>0.15</v>
      </c>
      <c r="J40" s="41">
        <f>0</f>
        <v>0</v>
      </c>
      <c r="K40" s="156"/>
      <c r="L40" s="17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</row>
    <row r="41" spans="1:31" s="1" customFormat="1" ht="14.45" hidden="1" customHeight="1" x14ac:dyDescent="0.2">
      <c r="A41" s="156"/>
      <c r="B41" s="16"/>
      <c r="C41" s="156"/>
      <c r="D41" s="156"/>
      <c r="E41" s="154" t="s">
        <v>31</v>
      </c>
      <c r="F41" s="41">
        <f>ROUND((SUM(BI131:BI310)),  2)</f>
        <v>0</v>
      </c>
      <c r="G41" s="156"/>
      <c r="H41" s="156"/>
      <c r="I41" s="42">
        <v>0</v>
      </c>
      <c r="J41" s="41">
        <f>0</f>
        <v>0</v>
      </c>
      <c r="K41" s="156"/>
      <c r="L41" s="17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</row>
    <row r="42" spans="1:31" s="1" customFormat="1" ht="6.95" customHeight="1" x14ac:dyDescent="0.2">
      <c r="A42" s="156"/>
      <c r="B42" s="16"/>
      <c r="C42" s="156"/>
      <c r="D42" s="156"/>
      <c r="E42" s="156"/>
      <c r="F42" s="156"/>
      <c r="G42" s="156"/>
      <c r="H42" s="156"/>
      <c r="I42" s="156"/>
      <c r="J42" s="156"/>
      <c r="K42" s="156"/>
      <c r="L42" s="17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</row>
    <row r="43" spans="1:31" s="1" customFormat="1" ht="25.35" customHeight="1" x14ac:dyDescent="0.2">
      <c r="A43" s="156"/>
      <c r="B43" s="16"/>
      <c r="C43" s="43"/>
      <c r="D43" s="44" t="s">
        <v>32</v>
      </c>
      <c r="E43" s="29"/>
      <c r="F43" s="29"/>
      <c r="G43" s="45" t="s">
        <v>33</v>
      </c>
      <c r="H43" s="46" t="s">
        <v>34</v>
      </c>
      <c r="I43" s="29"/>
      <c r="J43" s="47">
        <f>SUM(J34:J41)</f>
        <v>72870.960000000006</v>
      </c>
      <c r="K43" s="48"/>
      <c r="L43" s="17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</row>
    <row r="44" spans="1:31" s="1" customFormat="1" ht="14.45" customHeight="1" x14ac:dyDescent="0.2">
      <c r="A44" s="156"/>
      <c r="B44" s="16"/>
      <c r="C44" s="156"/>
      <c r="D44" s="156"/>
      <c r="E44" s="156"/>
      <c r="F44" s="156"/>
      <c r="G44" s="156"/>
      <c r="H44" s="156"/>
      <c r="I44" s="156"/>
      <c r="J44" s="156"/>
      <c r="K44" s="156"/>
      <c r="L44" s="17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</row>
    <row r="45" spans="1:31" ht="14.45" customHeight="1" x14ac:dyDescent="0.2">
      <c r="B45" s="13"/>
      <c r="L45" s="13"/>
    </row>
    <row r="46" spans="1:31" ht="14.45" customHeight="1" x14ac:dyDescent="0.2">
      <c r="B46" s="13"/>
      <c r="L46" s="13"/>
    </row>
    <row r="47" spans="1:31" ht="14.45" customHeight="1" x14ac:dyDescent="0.2">
      <c r="B47" s="13"/>
      <c r="L47" s="13"/>
    </row>
    <row r="48" spans="1:31" ht="14.45" customHeight="1" x14ac:dyDescent="0.2">
      <c r="B48" s="13"/>
      <c r="L48" s="13"/>
    </row>
    <row r="49" spans="1:31" s="1" customFormat="1" ht="14.45" customHeight="1" x14ac:dyDescent="0.2">
      <c r="B49" s="17"/>
      <c r="D49" s="18" t="s">
        <v>35</v>
      </c>
      <c r="E49" s="19"/>
      <c r="F49" s="19"/>
      <c r="G49" s="18" t="s">
        <v>36</v>
      </c>
      <c r="H49" s="19"/>
      <c r="I49" s="19"/>
      <c r="J49" s="19"/>
      <c r="K49" s="19"/>
      <c r="L49" s="17"/>
    </row>
    <row r="50" spans="1:31" x14ac:dyDescent="0.2">
      <c r="B50" s="13"/>
      <c r="L50" s="13"/>
    </row>
    <row r="51" spans="1:31" x14ac:dyDescent="0.2">
      <c r="B51" s="13"/>
      <c r="L51" s="13"/>
    </row>
    <row r="52" spans="1:31" x14ac:dyDescent="0.2">
      <c r="B52" s="13"/>
      <c r="L52" s="13"/>
    </row>
    <row r="53" spans="1:31" x14ac:dyDescent="0.2">
      <c r="B53" s="13"/>
      <c r="L53" s="13"/>
    </row>
    <row r="54" spans="1:31" x14ac:dyDescent="0.2">
      <c r="B54" s="13"/>
      <c r="L54" s="13"/>
    </row>
    <row r="55" spans="1:31" x14ac:dyDescent="0.2">
      <c r="B55" s="13"/>
      <c r="L55" s="13"/>
    </row>
    <row r="56" spans="1:31" x14ac:dyDescent="0.2">
      <c r="B56" s="13"/>
      <c r="L56" s="13"/>
    </row>
    <row r="57" spans="1:31" x14ac:dyDescent="0.2">
      <c r="B57" s="13"/>
      <c r="L57" s="13"/>
    </row>
    <row r="58" spans="1:31" x14ac:dyDescent="0.2">
      <c r="B58" s="13"/>
      <c r="L58" s="13"/>
    </row>
    <row r="59" spans="1:31" x14ac:dyDescent="0.2">
      <c r="B59" s="13"/>
      <c r="L59" s="13"/>
    </row>
    <row r="60" spans="1:31" s="1" customFormat="1" ht="12.75" x14ac:dyDescent="0.2">
      <c r="A60" s="156"/>
      <c r="B60" s="16"/>
      <c r="C60" s="156"/>
      <c r="D60" s="20" t="s">
        <v>37</v>
      </c>
      <c r="E60" s="149"/>
      <c r="F60" s="49" t="s">
        <v>38</v>
      </c>
      <c r="G60" s="20" t="s">
        <v>37</v>
      </c>
      <c r="H60" s="149"/>
      <c r="I60" s="149"/>
      <c r="J60" s="50" t="s">
        <v>38</v>
      </c>
      <c r="K60" s="149"/>
      <c r="L60" s="17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</row>
    <row r="61" spans="1:31" x14ac:dyDescent="0.2">
      <c r="B61" s="13"/>
      <c r="L61" s="13"/>
    </row>
    <row r="62" spans="1:31" x14ac:dyDescent="0.2">
      <c r="B62" s="13"/>
      <c r="L62" s="13"/>
    </row>
    <row r="63" spans="1:31" x14ac:dyDescent="0.2">
      <c r="B63" s="13"/>
      <c r="L63" s="13"/>
    </row>
    <row r="64" spans="1:31" s="1" customFormat="1" ht="12.75" x14ac:dyDescent="0.2">
      <c r="A64" s="156"/>
      <c r="B64" s="16"/>
      <c r="C64" s="156"/>
      <c r="D64" s="18" t="s">
        <v>39</v>
      </c>
      <c r="E64" s="21"/>
      <c r="F64" s="21"/>
      <c r="G64" s="18" t="s">
        <v>40</v>
      </c>
      <c r="H64" s="21"/>
      <c r="I64" s="21"/>
      <c r="J64" s="21"/>
      <c r="K64" s="21"/>
      <c r="L64" s="17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</row>
    <row r="65" spans="1:31" x14ac:dyDescent="0.2">
      <c r="B65" s="13"/>
      <c r="L65" s="13"/>
    </row>
    <row r="66" spans="1:31" x14ac:dyDescent="0.2">
      <c r="B66" s="13"/>
      <c r="L66" s="13"/>
    </row>
    <row r="67" spans="1:31" x14ac:dyDescent="0.2">
      <c r="B67" s="13"/>
      <c r="L67" s="13"/>
    </row>
    <row r="68" spans="1:31" x14ac:dyDescent="0.2">
      <c r="B68" s="13"/>
      <c r="L68" s="13"/>
    </row>
    <row r="69" spans="1:31" x14ac:dyDescent="0.2">
      <c r="B69" s="13"/>
      <c r="L69" s="13"/>
    </row>
    <row r="70" spans="1:31" x14ac:dyDescent="0.2">
      <c r="B70" s="13"/>
      <c r="L70" s="13"/>
    </row>
    <row r="71" spans="1:31" x14ac:dyDescent="0.2">
      <c r="B71" s="13"/>
      <c r="L71" s="13"/>
    </row>
    <row r="72" spans="1:31" x14ac:dyDescent="0.2">
      <c r="B72" s="13"/>
      <c r="L72" s="13"/>
    </row>
    <row r="73" spans="1:31" x14ac:dyDescent="0.2">
      <c r="B73" s="13"/>
      <c r="L73" s="13"/>
    </row>
    <row r="74" spans="1:31" x14ac:dyDescent="0.2">
      <c r="B74" s="13"/>
      <c r="L74" s="13"/>
    </row>
    <row r="75" spans="1:31" s="1" customFormat="1" ht="12.75" x14ac:dyDescent="0.2">
      <c r="A75" s="156"/>
      <c r="B75" s="16"/>
      <c r="C75" s="156"/>
      <c r="D75" s="20" t="s">
        <v>37</v>
      </c>
      <c r="E75" s="149"/>
      <c r="F75" s="49" t="s">
        <v>38</v>
      </c>
      <c r="G75" s="20" t="s">
        <v>37</v>
      </c>
      <c r="H75" s="149"/>
      <c r="I75" s="149"/>
      <c r="J75" s="50" t="s">
        <v>38</v>
      </c>
      <c r="K75" s="149"/>
      <c r="L75" s="17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</row>
    <row r="76" spans="1:31" s="1" customFormat="1" ht="14.45" customHeight="1" x14ac:dyDescent="0.2">
      <c r="A76" s="156"/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17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</row>
    <row r="80" spans="1:31" s="1" customFormat="1" ht="6.95" customHeight="1" x14ac:dyDescent="0.2">
      <c r="A80" s="156"/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17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</row>
    <row r="81" spans="1:31" s="1" customFormat="1" ht="24.95" customHeight="1" x14ac:dyDescent="0.2">
      <c r="A81" s="156"/>
      <c r="B81" s="16"/>
      <c r="C81" s="14" t="s">
        <v>53</v>
      </c>
      <c r="D81" s="156"/>
      <c r="E81" s="156"/>
      <c r="F81" s="156"/>
      <c r="G81" s="156"/>
      <c r="H81" s="156"/>
      <c r="I81" s="156"/>
      <c r="J81" s="156"/>
      <c r="K81" s="156"/>
      <c r="L81" s="17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</row>
    <row r="82" spans="1:31" s="1" customFormat="1" ht="6.95" customHeight="1" x14ac:dyDescent="0.2">
      <c r="A82" s="156"/>
      <c r="B82" s="16"/>
      <c r="C82" s="156"/>
      <c r="D82" s="156"/>
      <c r="E82" s="156"/>
      <c r="F82" s="156"/>
      <c r="G82" s="156"/>
      <c r="H82" s="156"/>
      <c r="I82" s="156"/>
      <c r="J82" s="156"/>
      <c r="K82" s="156"/>
      <c r="L82" s="17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</row>
    <row r="83" spans="1:31" s="1" customFormat="1" ht="12" customHeight="1" x14ac:dyDescent="0.2">
      <c r="A83" s="156"/>
      <c r="B83" s="16"/>
      <c r="C83" s="154" t="s">
        <v>6</v>
      </c>
      <c r="D83" s="156"/>
      <c r="E83" s="156"/>
      <c r="F83" s="156"/>
      <c r="G83" s="156"/>
      <c r="H83" s="156"/>
      <c r="I83" s="156"/>
      <c r="J83" s="156"/>
      <c r="K83" s="156"/>
      <c r="L83" s="17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</row>
    <row r="84" spans="1:31" s="1" customFormat="1" ht="16.5" customHeight="1" x14ac:dyDescent="0.2">
      <c r="A84" s="156"/>
      <c r="B84" s="16"/>
      <c r="C84" s="156"/>
      <c r="D84" s="156"/>
      <c r="E84" s="195" t="e">
        <f>E7</f>
        <v>#REF!</v>
      </c>
      <c r="F84" s="201"/>
      <c r="G84" s="201"/>
      <c r="H84" s="201"/>
      <c r="I84" s="156"/>
      <c r="J84" s="156"/>
      <c r="K84" s="156"/>
      <c r="L84" s="17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</row>
    <row r="85" spans="1:31" ht="12" customHeight="1" x14ac:dyDescent="0.2">
      <c r="B85" s="13"/>
      <c r="C85" s="154" t="s">
        <v>50</v>
      </c>
      <c r="L85" s="13"/>
    </row>
    <row r="86" spans="1:31" ht="16.5" customHeight="1" x14ac:dyDescent="0.2">
      <c r="B86" s="13"/>
      <c r="E86" s="195" t="s">
        <v>51</v>
      </c>
      <c r="F86" s="196"/>
      <c r="G86" s="196"/>
      <c r="H86" s="196"/>
      <c r="L86" s="13"/>
    </row>
    <row r="87" spans="1:31" ht="12" customHeight="1" x14ac:dyDescent="0.2">
      <c r="B87" s="13"/>
      <c r="C87" s="154" t="s">
        <v>52</v>
      </c>
      <c r="L87" s="13"/>
    </row>
    <row r="88" spans="1:31" s="1" customFormat="1" ht="16.5" customHeight="1" x14ac:dyDescent="0.2">
      <c r="A88" s="156"/>
      <c r="B88" s="16"/>
      <c r="C88" s="156"/>
      <c r="D88" s="156"/>
      <c r="E88" s="197" t="s">
        <v>201</v>
      </c>
      <c r="F88" s="198"/>
      <c r="G88" s="198"/>
      <c r="H88" s="198"/>
      <c r="I88" s="156"/>
      <c r="J88" s="156"/>
      <c r="K88" s="156"/>
      <c r="L88" s="17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31" s="1" customFormat="1" ht="12" customHeight="1" x14ac:dyDescent="0.2">
      <c r="A89" s="156"/>
      <c r="B89" s="16"/>
      <c r="C89" s="154" t="s">
        <v>202</v>
      </c>
      <c r="D89" s="156"/>
      <c r="E89" s="156"/>
      <c r="F89" s="156"/>
      <c r="G89" s="156"/>
      <c r="H89" s="156"/>
      <c r="I89" s="156"/>
      <c r="J89" s="156"/>
      <c r="K89" s="156"/>
      <c r="L89" s="17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31" s="1" customFormat="1" ht="30" customHeight="1" x14ac:dyDescent="0.2">
      <c r="A90" s="156"/>
      <c r="B90" s="16"/>
      <c r="C90" s="156"/>
      <c r="D90" s="156"/>
      <c r="E90" s="199" t="str">
        <f>E13</f>
        <v>00006 - DSO 01.1.1f Kanalizační odbočení Stoky A4a-Oa46a(2,67m), Oa47a(2,51m)</v>
      </c>
      <c r="F90" s="198"/>
      <c r="G90" s="198"/>
      <c r="H90" s="198"/>
      <c r="I90" s="156"/>
      <c r="J90" s="156"/>
      <c r="K90" s="156"/>
      <c r="L90" s="17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31" s="1" customFormat="1" ht="6.95" customHeight="1" x14ac:dyDescent="0.2">
      <c r="A91" s="156"/>
      <c r="B91" s="16"/>
      <c r="C91" s="156"/>
      <c r="D91" s="156"/>
      <c r="E91" s="156"/>
      <c r="F91" s="156"/>
      <c r="G91" s="156"/>
      <c r="H91" s="156"/>
      <c r="I91" s="156"/>
      <c r="J91" s="156"/>
      <c r="K91" s="156"/>
      <c r="L91" s="17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31" s="1" customFormat="1" ht="12" customHeight="1" x14ac:dyDescent="0.2">
      <c r="A92" s="156"/>
      <c r="B92" s="16"/>
      <c r="C92" s="154" t="s">
        <v>9</v>
      </c>
      <c r="D92" s="156"/>
      <c r="E92" s="156"/>
      <c r="F92" s="147" t="str">
        <f>F16</f>
        <v xml:space="preserve"> </v>
      </c>
      <c r="G92" s="156"/>
      <c r="H92" s="156"/>
      <c r="I92" s="154" t="s">
        <v>11</v>
      </c>
      <c r="J92" s="153" t="e">
        <f>IF(J16="","",J16)</f>
        <v>#REF!</v>
      </c>
      <c r="K92" s="156"/>
      <c r="L92" s="17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31" s="1" customFormat="1" ht="6.95" customHeight="1" x14ac:dyDescent="0.2">
      <c r="A93" s="156"/>
      <c r="B93" s="16"/>
      <c r="C93" s="156"/>
      <c r="D93" s="156"/>
      <c r="E93" s="156"/>
      <c r="F93" s="156"/>
      <c r="G93" s="156"/>
      <c r="H93" s="156"/>
      <c r="I93" s="156"/>
      <c r="J93" s="156"/>
      <c r="K93" s="156"/>
      <c r="L93" s="17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31" s="1" customFormat="1" ht="40.15" customHeight="1" x14ac:dyDescent="0.2">
      <c r="A94" s="156"/>
      <c r="B94" s="16"/>
      <c r="C94" s="154" t="s">
        <v>12</v>
      </c>
      <c r="D94" s="156"/>
      <c r="E94" s="156"/>
      <c r="F94" s="147" t="str">
        <f>E19</f>
        <v>Město Petřvald</v>
      </c>
      <c r="G94" s="156"/>
      <c r="H94" s="156"/>
      <c r="I94" s="154" t="s">
        <v>17</v>
      </c>
      <c r="J94" s="148" t="str">
        <f>E25</f>
        <v>Sweco Hydroprojekt a.s., divize Morava</v>
      </c>
      <c r="K94" s="156"/>
      <c r="L94" s="17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</row>
    <row r="95" spans="1:31" s="1" customFormat="1" ht="15.2" customHeight="1" x14ac:dyDescent="0.2">
      <c r="A95" s="156"/>
      <c r="B95" s="16"/>
      <c r="C95" s="154" t="s">
        <v>16</v>
      </c>
      <c r="D95" s="156"/>
      <c r="E95" s="156"/>
      <c r="F95" s="147" t="e">
        <f>IF(E22="","",E22)</f>
        <v>#REF!</v>
      </c>
      <c r="G95" s="156"/>
      <c r="H95" s="156"/>
      <c r="I95" s="154" t="s">
        <v>20</v>
      </c>
      <c r="J95" s="148" t="e">
        <f>E28</f>
        <v>#REF!</v>
      </c>
      <c r="K95" s="156"/>
      <c r="L95" s="17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</row>
    <row r="96" spans="1:31" s="1" customFormat="1" ht="10.35" customHeight="1" x14ac:dyDescent="0.2">
      <c r="A96" s="156"/>
      <c r="B96" s="16"/>
      <c r="C96" s="156"/>
      <c r="D96" s="156"/>
      <c r="E96" s="156"/>
      <c r="F96" s="156"/>
      <c r="G96" s="156"/>
      <c r="H96" s="156"/>
      <c r="I96" s="156"/>
      <c r="J96" s="156"/>
      <c r="K96" s="156"/>
      <c r="L96" s="17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</row>
    <row r="97" spans="1:47" s="1" customFormat="1" ht="29.25" customHeight="1" x14ac:dyDescent="0.2">
      <c r="A97" s="156"/>
      <c r="B97" s="16"/>
      <c r="C97" s="51" t="s">
        <v>54</v>
      </c>
      <c r="D97" s="43"/>
      <c r="E97" s="43"/>
      <c r="F97" s="43"/>
      <c r="G97" s="43"/>
      <c r="H97" s="43"/>
      <c r="I97" s="43"/>
      <c r="J97" s="52" t="s">
        <v>55</v>
      </c>
      <c r="K97" s="43"/>
      <c r="L97" s="17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</row>
    <row r="98" spans="1:47" s="1" customFormat="1" ht="10.35" customHeight="1" x14ac:dyDescent="0.2">
      <c r="A98" s="156"/>
      <c r="B98" s="16"/>
      <c r="C98" s="156"/>
      <c r="D98" s="156"/>
      <c r="E98" s="156"/>
      <c r="F98" s="156"/>
      <c r="G98" s="156"/>
      <c r="H98" s="156"/>
      <c r="I98" s="156"/>
      <c r="J98" s="156"/>
      <c r="K98" s="156"/>
      <c r="L98" s="17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</row>
    <row r="99" spans="1:47" s="1" customFormat="1" ht="22.9" customHeight="1" x14ac:dyDescent="0.2">
      <c r="A99" s="156"/>
      <c r="B99" s="16"/>
      <c r="C99" s="53" t="s">
        <v>56</v>
      </c>
      <c r="D99" s="156"/>
      <c r="E99" s="156"/>
      <c r="F99" s="156"/>
      <c r="G99" s="156"/>
      <c r="H99" s="156"/>
      <c r="I99" s="156"/>
      <c r="J99" s="152">
        <f>J131</f>
        <v>60223.930000000008</v>
      </c>
      <c r="K99" s="156"/>
      <c r="L99" s="17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U99" s="10" t="s">
        <v>57</v>
      </c>
    </row>
    <row r="100" spans="1:47" s="3" customFormat="1" ht="24.95" customHeight="1" x14ac:dyDescent="0.2">
      <c r="B100" s="54"/>
      <c r="D100" s="55" t="s">
        <v>58</v>
      </c>
      <c r="E100" s="56"/>
      <c r="F100" s="56"/>
      <c r="G100" s="56"/>
      <c r="H100" s="56"/>
      <c r="I100" s="56"/>
      <c r="J100" s="57">
        <f>J132</f>
        <v>60223.930000000008</v>
      </c>
      <c r="L100" s="54"/>
    </row>
    <row r="101" spans="1:47" s="151" customFormat="1" ht="19.899999999999999" customHeight="1" x14ac:dyDescent="0.2">
      <c r="B101" s="58"/>
      <c r="D101" s="59" t="s">
        <v>59</v>
      </c>
      <c r="E101" s="60"/>
      <c r="F101" s="60"/>
      <c r="G101" s="60"/>
      <c r="H101" s="60"/>
      <c r="I101" s="60"/>
      <c r="J101" s="61">
        <f>J133</f>
        <v>28297.909999999996</v>
      </c>
      <c r="L101" s="58"/>
    </row>
    <row r="102" spans="1:47" s="151" customFormat="1" ht="19.899999999999999" customHeight="1" x14ac:dyDescent="0.2">
      <c r="B102" s="58"/>
      <c r="D102" s="59" t="s">
        <v>206</v>
      </c>
      <c r="E102" s="60"/>
      <c r="F102" s="60"/>
      <c r="G102" s="60"/>
      <c r="H102" s="60"/>
      <c r="I102" s="60"/>
      <c r="J102" s="61">
        <f>J226</f>
        <v>0</v>
      </c>
      <c r="L102" s="58"/>
    </row>
    <row r="103" spans="1:47" s="151" customFormat="1" ht="19.899999999999999" customHeight="1" x14ac:dyDescent="0.2">
      <c r="B103" s="58"/>
      <c r="D103" s="59" t="s">
        <v>207</v>
      </c>
      <c r="E103" s="60"/>
      <c r="F103" s="60"/>
      <c r="G103" s="60"/>
      <c r="H103" s="60"/>
      <c r="I103" s="60"/>
      <c r="J103" s="61">
        <f>J229</f>
        <v>1186.03</v>
      </c>
      <c r="L103" s="58"/>
    </row>
    <row r="104" spans="1:47" s="151" customFormat="1" ht="19.899999999999999" customHeight="1" x14ac:dyDescent="0.2">
      <c r="B104" s="58"/>
      <c r="D104" s="59" t="s">
        <v>208</v>
      </c>
      <c r="E104" s="60"/>
      <c r="F104" s="60"/>
      <c r="G104" s="60"/>
      <c r="H104" s="60"/>
      <c r="I104" s="60"/>
      <c r="J104" s="61">
        <f>J244</f>
        <v>3617.05</v>
      </c>
      <c r="L104" s="58"/>
    </row>
    <row r="105" spans="1:47" s="151" customFormat="1" ht="19.899999999999999" customHeight="1" x14ac:dyDescent="0.2">
      <c r="B105" s="58"/>
      <c r="D105" s="59" t="s">
        <v>209</v>
      </c>
      <c r="E105" s="60"/>
      <c r="F105" s="60"/>
      <c r="G105" s="60"/>
      <c r="H105" s="60"/>
      <c r="I105" s="60"/>
      <c r="J105" s="61">
        <f>J254</f>
        <v>25149.62</v>
      </c>
      <c r="L105" s="58"/>
    </row>
    <row r="106" spans="1:47" s="151" customFormat="1" ht="19.899999999999999" customHeight="1" x14ac:dyDescent="0.2">
      <c r="B106" s="58"/>
      <c r="D106" s="59" t="s">
        <v>211</v>
      </c>
      <c r="E106" s="60"/>
      <c r="F106" s="60"/>
      <c r="G106" s="60"/>
      <c r="H106" s="60"/>
      <c r="I106" s="60"/>
      <c r="J106" s="61">
        <f>J288</f>
        <v>1611.41</v>
      </c>
      <c r="L106" s="58"/>
    </row>
    <row r="107" spans="1:47" s="151" customFormat="1" ht="19.899999999999999" customHeight="1" x14ac:dyDescent="0.2">
      <c r="B107" s="58"/>
      <c r="D107" s="59" t="s">
        <v>135</v>
      </c>
      <c r="E107" s="60"/>
      <c r="F107" s="60"/>
      <c r="G107" s="60"/>
      <c r="H107" s="60"/>
      <c r="I107" s="60"/>
      <c r="J107" s="61">
        <f>J308</f>
        <v>361.91</v>
      </c>
      <c r="L107" s="58"/>
    </row>
    <row r="108" spans="1:47" s="1" customFormat="1" ht="21.75" customHeight="1" x14ac:dyDescent="0.2">
      <c r="A108" s="156"/>
      <c r="B108" s="16"/>
      <c r="C108" s="156"/>
      <c r="D108" s="156"/>
      <c r="E108" s="156"/>
      <c r="F108" s="156"/>
      <c r="G108" s="156"/>
      <c r="H108" s="156"/>
      <c r="I108" s="156"/>
      <c r="J108" s="156"/>
      <c r="K108" s="156"/>
      <c r="L108" s="17"/>
      <c r="S108" s="156"/>
      <c r="T108" s="156"/>
      <c r="U108" s="156"/>
      <c r="V108" s="156"/>
      <c r="W108" s="156"/>
      <c r="X108" s="156"/>
      <c r="Y108" s="156"/>
      <c r="Z108" s="156"/>
      <c r="AA108" s="156"/>
      <c r="AB108" s="156"/>
      <c r="AC108" s="156"/>
      <c r="AD108" s="156"/>
      <c r="AE108" s="156"/>
    </row>
    <row r="109" spans="1:47" s="1" customFormat="1" ht="6.95" customHeight="1" x14ac:dyDescent="0.2">
      <c r="A109" s="156"/>
      <c r="B109" s="22"/>
      <c r="C109" s="23"/>
      <c r="D109" s="23"/>
      <c r="E109" s="23"/>
      <c r="F109" s="23"/>
      <c r="G109" s="23"/>
      <c r="H109" s="23"/>
      <c r="I109" s="23"/>
      <c r="J109" s="23"/>
      <c r="K109" s="23"/>
      <c r="L109" s="17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</row>
    <row r="113" spans="1:31" s="1" customFormat="1" ht="6.95" customHeight="1" x14ac:dyDescent="0.2">
      <c r="A113" s="156"/>
      <c r="B113" s="24"/>
      <c r="C113" s="25"/>
      <c r="D113" s="25"/>
      <c r="E113" s="25"/>
      <c r="F113" s="25"/>
      <c r="G113" s="25"/>
      <c r="H113" s="25"/>
      <c r="I113" s="25"/>
      <c r="J113" s="25"/>
      <c r="K113" s="25"/>
      <c r="L113" s="17"/>
      <c r="S113" s="156"/>
      <c r="T113" s="156"/>
      <c r="U113" s="156"/>
      <c r="V113" s="156"/>
      <c r="W113" s="156"/>
      <c r="X113" s="156"/>
      <c r="Y113" s="156"/>
      <c r="Z113" s="156"/>
      <c r="AA113" s="156"/>
      <c r="AB113" s="156"/>
      <c r="AC113" s="156"/>
      <c r="AD113" s="156"/>
      <c r="AE113" s="156"/>
    </row>
    <row r="114" spans="1:31" s="1" customFormat="1" ht="24.95" customHeight="1" x14ac:dyDescent="0.2">
      <c r="A114" s="156"/>
      <c r="B114" s="16"/>
      <c r="C114" s="14" t="s">
        <v>60</v>
      </c>
      <c r="D114" s="156"/>
      <c r="E114" s="156"/>
      <c r="F114" s="156"/>
      <c r="G114" s="156"/>
      <c r="H114" s="156"/>
      <c r="I114" s="156"/>
      <c r="J114" s="156"/>
      <c r="K114" s="156"/>
      <c r="L114" s="17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</row>
    <row r="115" spans="1:31" s="1" customFormat="1" ht="6.95" customHeight="1" x14ac:dyDescent="0.2">
      <c r="A115" s="156"/>
      <c r="B115" s="16"/>
      <c r="C115" s="156"/>
      <c r="D115" s="156"/>
      <c r="E115" s="156"/>
      <c r="F115" s="156"/>
      <c r="G115" s="156"/>
      <c r="H115" s="156"/>
      <c r="I115" s="156"/>
      <c r="J115" s="156"/>
      <c r="K115" s="156"/>
      <c r="L115" s="17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31" s="1" customFormat="1" ht="12" customHeight="1" x14ac:dyDescent="0.2">
      <c r="A116" s="156"/>
      <c r="B116" s="16"/>
      <c r="C116" s="154" t="s">
        <v>6</v>
      </c>
      <c r="D116" s="156"/>
      <c r="E116" s="156"/>
      <c r="F116" s="156"/>
      <c r="G116" s="156"/>
      <c r="H116" s="156"/>
      <c r="I116" s="156"/>
      <c r="J116" s="156"/>
      <c r="K116" s="156"/>
      <c r="L116" s="17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31" s="1" customFormat="1" ht="16.5" customHeight="1" x14ac:dyDescent="0.2">
      <c r="A117" s="156"/>
      <c r="B117" s="16"/>
      <c r="C117" s="156"/>
      <c r="D117" s="156"/>
      <c r="E117" s="195" t="e">
        <f>E7</f>
        <v>#REF!</v>
      </c>
      <c r="F117" s="201"/>
      <c r="G117" s="201"/>
      <c r="H117" s="201"/>
      <c r="I117" s="156"/>
      <c r="J117" s="156"/>
      <c r="K117" s="156"/>
      <c r="L117" s="17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31" ht="12" customHeight="1" x14ac:dyDescent="0.2">
      <c r="B118" s="13"/>
      <c r="C118" s="154" t="s">
        <v>50</v>
      </c>
      <c r="L118" s="13"/>
    </row>
    <row r="119" spans="1:31" ht="16.5" customHeight="1" x14ac:dyDescent="0.2">
      <c r="B119" s="13"/>
      <c r="E119" s="195" t="s">
        <v>51</v>
      </c>
      <c r="F119" s="196"/>
      <c r="G119" s="196"/>
      <c r="H119" s="196"/>
      <c r="L119" s="13"/>
    </row>
    <row r="120" spans="1:31" ht="12" customHeight="1" x14ac:dyDescent="0.2">
      <c r="B120" s="13"/>
      <c r="C120" s="154" t="s">
        <v>52</v>
      </c>
      <c r="L120" s="13"/>
    </row>
    <row r="121" spans="1:31" s="1" customFormat="1" ht="16.5" customHeight="1" x14ac:dyDescent="0.2">
      <c r="A121" s="156"/>
      <c r="B121" s="16"/>
      <c r="C121" s="156"/>
      <c r="D121" s="156"/>
      <c r="E121" s="197" t="s">
        <v>201</v>
      </c>
      <c r="F121" s="198"/>
      <c r="G121" s="198"/>
      <c r="H121" s="198"/>
      <c r="I121" s="156"/>
      <c r="J121" s="156"/>
      <c r="K121" s="156"/>
      <c r="L121" s="17"/>
      <c r="S121" s="156"/>
      <c r="T121" s="156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</row>
    <row r="122" spans="1:31" s="1" customFormat="1" ht="12" customHeight="1" x14ac:dyDescent="0.2">
      <c r="A122" s="156"/>
      <c r="B122" s="16"/>
      <c r="C122" s="154" t="s">
        <v>202</v>
      </c>
      <c r="D122" s="156"/>
      <c r="E122" s="156"/>
      <c r="F122" s="156"/>
      <c r="G122" s="156"/>
      <c r="H122" s="156"/>
      <c r="I122" s="156"/>
      <c r="J122" s="156"/>
      <c r="K122" s="156"/>
      <c r="L122" s="17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31" s="1" customFormat="1" ht="28.5" customHeight="1" x14ac:dyDescent="0.2">
      <c r="A123" s="156"/>
      <c r="B123" s="16"/>
      <c r="C123" s="156"/>
      <c r="D123" s="156"/>
      <c r="E123" s="199" t="str">
        <f>E13</f>
        <v>00006 - DSO 01.1.1f Kanalizační odbočení Stoky A4a-Oa46a(2,67m), Oa47a(2,51m)</v>
      </c>
      <c r="F123" s="198"/>
      <c r="G123" s="198"/>
      <c r="H123" s="198"/>
      <c r="I123" s="156"/>
      <c r="J123" s="156"/>
      <c r="K123" s="156"/>
      <c r="L123" s="17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pans="1:31" s="1" customFormat="1" ht="6.95" customHeight="1" x14ac:dyDescent="0.2">
      <c r="A124" s="156"/>
      <c r="B124" s="16"/>
      <c r="C124" s="156"/>
      <c r="D124" s="156"/>
      <c r="E124" s="156"/>
      <c r="F124" s="156"/>
      <c r="G124" s="156"/>
      <c r="H124" s="156"/>
      <c r="I124" s="156"/>
      <c r="J124" s="156"/>
      <c r="K124" s="156"/>
      <c r="L124" s="17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pans="1:31" s="1" customFormat="1" ht="12" customHeight="1" x14ac:dyDescent="0.2">
      <c r="A125" s="156"/>
      <c r="B125" s="16"/>
      <c r="C125" s="154" t="s">
        <v>9</v>
      </c>
      <c r="D125" s="156"/>
      <c r="E125" s="156"/>
      <c r="F125" s="147" t="str">
        <f>F16</f>
        <v xml:space="preserve"> </v>
      </c>
      <c r="G125" s="156"/>
      <c r="H125" s="156"/>
      <c r="I125" s="154" t="s">
        <v>11</v>
      </c>
      <c r="J125" s="153" t="e">
        <f>IF(J16="","",J16)</f>
        <v>#REF!</v>
      </c>
      <c r="K125" s="156"/>
      <c r="L125" s="17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31" s="1" customFormat="1" ht="6.95" customHeight="1" x14ac:dyDescent="0.2">
      <c r="A126" s="156"/>
      <c r="B126" s="16"/>
      <c r="C126" s="156"/>
      <c r="D126" s="156"/>
      <c r="E126" s="156"/>
      <c r="F126" s="156"/>
      <c r="G126" s="156"/>
      <c r="H126" s="156"/>
      <c r="I126" s="156"/>
      <c r="J126" s="156"/>
      <c r="K126" s="156"/>
      <c r="L126" s="17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pans="1:31" s="1" customFormat="1" ht="40.15" customHeight="1" x14ac:dyDescent="0.2">
      <c r="A127" s="156"/>
      <c r="B127" s="16"/>
      <c r="C127" s="154" t="s">
        <v>12</v>
      </c>
      <c r="D127" s="156"/>
      <c r="E127" s="156"/>
      <c r="F127" s="147" t="str">
        <f>E19</f>
        <v>Město Petřvald</v>
      </c>
      <c r="G127" s="156"/>
      <c r="H127" s="156"/>
      <c r="I127" s="154" t="s">
        <v>17</v>
      </c>
      <c r="J127" s="148" t="str">
        <f>E25</f>
        <v>Sweco Hydroprojekt a.s., divize Morava</v>
      </c>
      <c r="K127" s="156"/>
      <c r="L127" s="17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pans="1:31" s="1" customFormat="1" ht="15.2" customHeight="1" x14ac:dyDescent="0.2">
      <c r="A128" s="156"/>
      <c r="B128" s="16"/>
      <c r="C128" s="154" t="s">
        <v>16</v>
      </c>
      <c r="D128" s="156"/>
      <c r="E128" s="156"/>
      <c r="F128" s="147" t="e">
        <f>IF(E22="","",E22)</f>
        <v>#REF!</v>
      </c>
      <c r="G128" s="156"/>
      <c r="H128" s="156"/>
      <c r="I128" s="154" t="s">
        <v>20</v>
      </c>
      <c r="J128" s="148" t="e">
        <f>E28</f>
        <v>#REF!</v>
      </c>
      <c r="K128" s="156"/>
      <c r="L128" s="17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pans="1:65" s="1" customFormat="1" ht="10.35" customHeight="1" x14ac:dyDescent="0.2">
      <c r="A129" s="156"/>
      <c r="B129" s="16"/>
      <c r="C129" s="156"/>
      <c r="D129" s="156"/>
      <c r="E129" s="156"/>
      <c r="F129" s="156"/>
      <c r="G129" s="156"/>
      <c r="H129" s="156"/>
      <c r="I129" s="156"/>
      <c r="J129" s="156"/>
      <c r="K129" s="156"/>
      <c r="L129" s="17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</row>
    <row r="130" spans="1:65" s="4" customFormat="1" ht="29.25" customHeight="1" x14ac:dyDescent="0.2">
      <c r="A130" s="62"/>
      <c r="B130" s="63"/>
      <c r="C130" s="64" t="s">
        <v>61</v>
      </c>
      <c r="D130" s="65" t="s">
        <v>43</v>
      </c>
      <c r="E130" s="65" t="s">
        <v>41</v>
      </c>
      <c r="F130" s="65" t="s">
        <v>42</v>
      </c>
      <c r="G130" s="65" t="s">
        <v>62</v>
      </c>
      <c r="H130" s="65" t="s">
        <v>63</v>
      </c>
      <c r="I130" s="65" t="s">
        <v>64</v>
      </c>
      <c r="J130" s="65" t="s">
        <v>55</v>
      </c>
      <c r="K130" s="66" t="s">
        <v>65</v>
      </c>
      <c r="L130" s="67"/>
      <c r="M130" s="30" t="s">
        <v>0</v>
      </c>
      <c r="N130" s="31" t="s">
        <v>26</v>
      </c>
      <c r="O130" s="31" t="s">
        <v>66</v>
      </c>
      <c r="P130" s="31" t="s">
        <v>67</v>
      </c>
      <c r="Q130" s="31" t="s">
        <v>68</v>
      </c>
      <c r="R130" s="31" t="s">
        <v>69</v>
      </c>
      <c r="S130" s="31" t="s">
        <v>70</v>
      </c>
      <c r="T130" s="32" t="s">
        <v>71</v>
      </c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</row>
    <row r="131" spans="1:65" s="1" customFormat="1" ht="22.9" customHeight="1" x14ac:dyDescent="0.25">
      <c r="A131" s="156"/>
      <c r="B131" s="16"/>
      <c r="C131" s="35" t="s">
        <v>72</v>
      </c>
      <c r="D131" s="156"/>
      <c r="E131" s="156"/>
      <c r="F131" s="156"/>
      <c r="G131" s="156" t="s">
        <v>212</v>
      </c>
      <c r="H131" s="156"/>
      <c r="I131" s="156"/>
      <c r="J131" s="68">
        <f>BK131</f>
        <v>60223.930000000008</v>
      </c>
      <c r="K131" s="156"/>
      <c r="L131" s="16"/>
      <c r="M131" s="33"/>
      <c r="N131" s="26"/>
      <c r="O131" s="34"/>
      <c r="P131" s="69">
        <f>P132</f>
        <v>0</v>
      </c>
      <c r="Q131" s="34"/>
      <c r="R131" s="69">
        <f>R132</f>
        <v>21.43676352</v>
      </c>
      <c r="S131" s="34"/>
      <c r="T131" s="70">
        <f>T132</f>
        <v>6.1931339999999997</v>
      </c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T131" s="10" t="s">
        <v>44</v>
      </c>
      <c r="AU131" s="10" t="s">
        <v>57</v>
      </c>
      <c r="BK131" s="71">
        <f>BK132</f>
        <v>60223.930000000008</v>
      </c>
    </row>
    <row r="132" spans="1:65" s="5" customFormat="1" ht="25.9" customHeight="1" x14ac:dyDescent="0.2">
      <c r="B132" s="72"/>
      <c r="D132" s="73" t="s">
        <v>44</v>
      </c>
      <c r="E132" s="74" t="s">
        <v>73</v>
      </c>
      <c r="F132" s="74" t="s">
        <v>74</v>
      </c>
      <c r="G132" s="5" t="s">
        <v>212</v>
      </c>
      <c r="I132" s="75"/>
      <c r="J132" s="76">
        <f>BK132</f>
        <v>60223.930000000008</v>
      </c>
      <c r="L132" s="72"/>
      <c r="M132" s="77"/>
      <c r="N132" s="78"/>
      <c r="O132" s="78"/>
      <c r="P132" s="79">
        <f>P133+P226+P229+P244+P254+P288+P308</f>
        <v>0</v>
      </c>
      <c r="Q132" s="78"/>
      <c r="R132" s="79">
        <f>R133+R226+R229+R244+R254+R288+R308</f>
        <v>21.43676352</v>
      </c>
      <c r="S132" s="78"/>
      <c r="T132" s="80">
        <f>T133+T226+T229+T244+T254+T288+T308</f>
        <v>6.1931339999999997</v>
      </c>
      <c r="AR132" s="73" t="s">
        <v>46</v>
      </c>
      <c r="AT132" s="81" t="s">
        <v>44</v>
      </c>
      <c r="AU132" s="81" t="s">
        <v>45</v>
      </c>
      <c r="AY132" s="73" t="s">
        <v>75</v>
      </c>
      <c r="BK132" s="82">
        <f>BK133+BK226+BK229+BK244+BK254+BK288+BK308</f>
        <v>60223.930000000008</v>
      </c>
    </row>
    <row r="133" spans="1:65" s="5" customFormat="1" ht="22.9" customHeight="1" x14ac:dyDescent="0.2">
      <c r="B133" s="72"/>
      <c r="D133" s="73" t="s">
        <v>44</v>
      </c>
      <c r="E133" s="83" t="s">
        <v>46</v>
      </c>
      <c r="F133" s="83" t="s">
        <v>76</v>
      </c>
      <c r="G133" s="5" t="s">
        <v>212</v>
      </c>
      <c r="I133" s="75"/>
      <c r="J133" s="84">
        <f>BK133</f>
        <v>28297.909999999996</v>
      </c>
      <c r="L133" s="72"/>
      <c r="M133" s="77"/>
      <c r="N133" s="78"/>
      <c r="O133" s="78"/>
      <c r="P133" s="79">
        <f>SUM(P134:P225)</f>
        <v>0</v>
      </c>
      <c r="Q133" s="78"/>
      <c r="R133" s="79">
        <f>SUM(R134:R225)</f>
        <v>21.150200120000001</v>
      </c>
      <c r="S133" s="78"/>
      <c r="T133" s="80">
        <f>SUM(T134:T225)</f>
        <v>6.1931339999999997</v>
      </c>
      <c r="AR133" s="73" t="s">
        <v>46</v>
      </c>
      <c r="AT133" s="81" t="s">
        <v>44</v>
      </c>
      <c r="AU133" s="81" t="s">
        <v>46</v>
      </c>
      <c r="AY133" s="73" t="s">
        <v>75</v>
      </c>
      <c r="BK133" s="82">
        <f>SUM(BK134:BK225)</f>
        <v>28297.909999999996</v>
      </c>
    </row>
    <row r="134" spans="1:65" s="1" customFormat="1" ht="24.2" customHeight="1" x14ac:dyDescent="0.2">
      <c r="A134" s="156"/>
      <c r="B134" s="85"/>
      <c r="C134" s="86" t="s">
        <v>46</v>
      </c>
      <c r="D134" s="86" t="s">
        <v>78</v>
      </c>
      <c r="E134" s="87" t="s">
        <v>146</v>
      </c>
      <c r="F134" s="88" t="s">
        <v>147</v>
      </c>
      <c r="G134" s="89" t="s">
        <v>100</v>
      </c>
      <c r="H134" s="90">
        <v>4.923</v>
      </c>
      <c r="I134" s="91">
        <v>68.767172335543137</v>
      </c>
      <c r="J134" s="92">
        <f>ROUND(I134*H134,2)</f>
        <v>338.54</v>
      </c>
      <c r="K134" s="88" t="s">
        <v>0</v>
      </c>
      <c r="L134" s="16"/>
      <c r="M134" s="93" t="s">
        <v>0</v>
      </c>
      <c r="N134" s="94" t="s">
        <v>27</v>
      </c>
      <c r="O134" s="27"/>
      <c r="P134" s="95">
        <f>O134*H134</f>
        <v>0</v>
      </c>
      <c r="Q134" s="95">
        <v>0</v>
      </c>
      <c r="R134" s="95">
        <f>Q134*H134</f>
        <v>0</v>
      </c>
      <c r="S134" s="95">
        <v>0.57999999999999996</v>
      </c>
      <c r="T134" s="96">
        <f>S134*H134</f>
        <v>2.85534</v>
      </c>
      <c r="U134" s="156"/>
      <c r="V134" s="156"/>
      <c r="W134" s="156"/>
      <c r="X134" s="156"/>
      <c r="Y134" s="156"/>
      <c r="Z134" s="156"/>
      <c r="AA134" s="156"/>
      <c r="AB134" s="156"/>
      <c r="AC134" s="156"/>
      <c r="AD134" s="156"/>
      <c r="AE134" s="156"/>
      <c r="AR134" s="97" t="s">
        <v>83</v>
      </c>
      <c r="AT134" s="97" t="s">
        <v>78</v>
      </c>
      <c r="AU134" s="97" t="s">
        <v>47</v>
      </c>
      <c r="AY134" s="10" t="s">
        <v>75</v>
      </c>
      <c r="BE134" s="98">
        <f>IF(N134="základní",J134,0)</f>
        <v>338.54</v>
      </c>
      <c r="BF134" s="98">
        <f>IF(N134="snížená",J134,0)</f>
        <v>0</v>
      </c>
      <c r="BG134" s="98">
        <f>IF(N134="zákl. přenesená",J134,0)</f>
        <v>0</v>
      </c>
      <c r="BH134" s="98">
        <f>IF(N134="sníž. přenesená",J134,0)</f>
        <v>0</v>
      </c>
      <c r="BI134" s="98">
        <f>IF(N134="nulová",J134,0)</f>
        <v>0</v>
      </c>
      <c r="BJ134" s="10" t="s">
        <v>46</v>
      </c>
      <c r="BK134" s="98">
        <f>ROUND(I134*H134,2)</f>
        <v>338.54</v>
      </c>
      <c r="BL134" s="10" t="s">
        <v>83</v>
      </c>
      <c r="BM134" s="97" t="s">
        <v>213</v>
      </c>
    </row>
    <row r="135" spans="1:65" s="1" customFormat="1" ht="39" x14ac:dyDescent="0.2">
      <c r="A135" s="156"/>
      <c r="B135" s="16"/>
      <c r="C135" s="156"/>
      <c r="D135" s="99" t="s">
        <v>84</v>
      </c>
      <c r="E135" s="156"/>
      <c r="F135" s="100" t="s">
        <v>148</v>
      </c>
      <c r="G135" s="156"/>
      <c r="H135" s="156"/>
      <c r="I135" s="101"/>
      <c r="J135" s="156"/>
      <c r="K135" s="156"/>
      <c r="L135" s="16"/>
      <c r="M135" s="102"/>
      <c r="N135" s="103"/>
      <c r="O135" s="27"/>
      <c r="P135" s="27"/>
      <c r="Q135" s="27"/>
      <c r="R135" s="27"/>
      <c r="S135" s="27"/>
      <c r="T135" s="28"/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T135" s="10" t="s">
        <v>84</v>
      </c>
      <c r="AU135" s="10" t="s">
        <v>47</v>
      </c>
    </row>
    <row r="136" spans="1:65" s="1" customFormat="1" x14ac:dyDescent="0.2">
      <c r="A136" s="169"/>
      <c r="B136" s="16"/>
      <c r="C136" s="169"/>
      <c r="D136" s="99"/>
      <c r="E136" s="169"/>
      <c r="F136" s="100" t="s">
        <v>448</v>
      </c>
      <c r="G136" s="169"/>
      <c r="H136" s="169">
        <f>5.47-0.547</f>
        <v>4.923</v>
      </c>
      <c r="I136" s="101"/>
      <c r="J136" s="169"/>
      <c r="K136" s="169"/>
      <c r="L136" s="16"/>
      <c r="M136" s="102"/>
      <c r="N136" s="103"/>
      <c r="O136" s="27"/>
      <c r="P136" s="27"/>
      <c r="Q136" s="27"/>
      <c r="R136" s="27"/>
      <c r="S136" s="27"/>
      <c r="T136" s="28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T136" s="10"/>
      <c r="AU136" s="10"/>
    </row>
    <row r="137" spans="1:65" s="1" customFormat="1" ht="24.2" customHeight="1" x14ac:dyDescent="0.2">
      <c r="A137" s="156"/>
      <c r="B137" s="85"/>
      <c r="C137" s="86" t="s">
        <v>47</v>
      </c>
      <c r="D137" s="86" t="s">
        <v>78</v>
      </c>
      <c r="E137" s="87" t="s">
        <v>149</v>
      </c>
      <c r="F137" s="88" t="s">
        <v>150</v>
      </c>
      <c r="G137" s="89" t="s">
        <v>100</v>
      </c>
      <c r="H137" s="90">
        <v>4.923</v>
      </c>
      <c r="I137" s="91">
        <v>68.767172335543137</v>
      </c>
      <c r="J137" s="92">
        <f>ROUND(I137*H137,2)</f>
        <v>338.54</v>
      </c>
      <c r="K137" s="88" t="s">
        <v>82</v>
      </c>
      <c r="L137" s="16"/>
      <c r="M137" s="93" t="s">
        <v>0</v>
      </c>
      <c r="N137" s="94" t="s">
        <v>27</v>
      </c>
      <c r="O137" s="27"/>
      <c r="P137" s="95">
        <f>O137*H137</f>
        <v>0</v>
      </c>
      <c r="Q137" s="95">
        <v>0</v>
      </c>
      <c r="R137" s="95">
        <f>Q137*H137</f>
        <v>0</v>
      </c>
      <c r="S137" s="95">
        <v>0.57999999999999996</v>
      </c>
      <c r="T137" s="96">
        <f>S137*H137</f>
        <v>2.85534</v>
      </c>
      <c r="U137" s="156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R137" s="97" t="s">
        <v>83</v>
      </c>
      <c r="AT137" s="97" t="s">
        <v>78</v>
      </c>
      <c r="AU137" s="97" t="s">
        <v>47</v>
      </c>
      <c r="AY137" s="10" t="s">
        <v>75</v>
      </c>
      <c r="BE137" s="98">
        <f>IF(N137="základní",J137,0)</f>
        <v>338.54</v>
      </c>
      <c r="BF137" s="98">
        <f>IF(N137="snížená",J137,0)</f>
        <v>0</v>
      </c>
      <c r="BG137" s="98">
        <f>IF(N137="zákl. přenesená",J137,0)</f>
        <v>0</v>
      </c>
      <c r="BH137" s="98">
        <f>IF(N137="sníž. přenesená",J137,0)</f>
        <v>0</v>
      </c>
      <c r="BI137" s="98">
        <f>IF(N137="nulová",J137,0)</f>
        <v>0</v>
      </c>
      <c r="BJ137" s="10" t="s">
        <v>46</v>
      </c>
      <c r="BK137" s="98">
        <f>ROUND(I137*H137,2)</f>
        <v>338.54</v>
      </c>
      <c r="BL137" s="10" t="s">
        <v>83</v>
      </c>
      <c r="BM137" s="97" t="s">
        <v>214</v>
      </c>
    </row>
    <row r="138" spans="1:65" s="1" customFormat="1" ht="39" x14ac:dyDescent="0.2">
      <c r="A138" s="156"/>
      <c r="B138" s="16"/>
      <c r="C138" s="156"/>
      <c r="D138" s="99" t="s">
        <v>84</v>
      </c>
      <c r="E138" s="156"/>
      <c r="F138" s="100" t="s">
        <v>148</v>
      </c>
      <c r="G138" s="156"/>
      <c r="H138" s="156"/>
      <c r="I138" s="101"/>
      <c r="J138" s="156"/>
      <c r="K138" s="156"/>
      <c r="L138" s="16"/>
      <c r="M138" s="102"/>
      <c r="N138" s="103"/>
      <c r="O138" s="27"/>
      <c r="P138" s="27"/>
      <c r="Q138" s="27"/>
      <c r="R138" s="27"/>
      <c r="S138" s="27"/>
      <c r="T138" s="28"/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T138" s="10" t="s">
        <v>84</v>
      </c>
      <c r="AU138" s="10" t="s">
        <v>47</v>
      </c>
    </row>
    <row r="139" spans="1:65" s="1" customFormat="1" ht="24.2" customHeight="1" x14ac:dyDescent="0.2">
      <c r="A139" s="156"/>
      <c r="B139" s="85"/>
      <c r="C139" s="86" t="s">
        <v>48</v>
      </c>
      <c r="D139" s="86" t="s">
        <v>78</v>
      </c>
      <c r="E139" s="87" t="s">
        <v>151</v>
      </c>
      <c r="F139" s="88" t="s">
        <v>215</v>
      </c>
      <c r="G139" s="89" t="s">
        <v>100</v>
      </c>
      <c r="H139" s="90">
        <v>4.923</v>
      </c>
      <c r="I139" s="91">
        <v>27.886826761540966</v>
      </c>
      <c r="J139" s="92">
        <f>ROUND(I139*H139,2)</f>
        <v>137.29</v>
      </c>
      <c r="K139" s="88" t="s">
        <v>82</v>
      </c>
      <c r="L139" s="16"/>
      <c r="M139" s="93" t="s">
        <v>0</v>
      </c>
      <c r="N139" s="94" t="s">
        <v>27</v>
      </c>
      <c r="O139" s="27"/>
      <c r="P139" s="95">
        <f>O139*H139</f>
        <v>0</v>
      </c>
      <c r="Q139" s="95">
        <v>0</v>
      </c>
      <c r="R139" s="95">
        <f>Q139*H139</f>
        <v>0</v>
      </c>
      <c r="S139" s="95">
        <v>9.8000000000000004E-2</v>
      </c>
      <c r="T139" s="96">
        <f>S139*H139</f>
        <v>0.48245400000000005</v>
      </c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R139" s="97" t="s">
        <v>83</v>
      </c>
      <c r="AT139" s="97" t="s">
        <v>78</v>
      </c>
      <c r="AU139" s="97" t="s">
        <v>47</v>
      </c>
      <c r="AY139" s="10" t="s">
        <v>75</v>
      </c>
      <c r="BE139" s="98">
        <f>IF(N139="základní",J139,0)</f>
        <v>137.29</v>
      </c>
      <c r="BF139" s="98">
        <f>IF(N139="snížená",J139,0)</f>
        <v>0</v>
      </c>
      <c r="BG139" s="98">
        <f>IF(N139="zákl. přenesená",J139,0)</f>
        <v>0</v>
      </c>
      <c r="BH139" s="98">
        <f>IF(N139="sníž. přenesená",J139,0)</f>
        <v>0</v>
      </c>
      <c r="BI139" s="98">
        <f>IF(N139="nulová",J139,0)</f>
        <v>0</v>
      </c>
      <c r="BJ139" s="10" t="s">
        <v>46</v>
      </c>
      <c r="BK139" s="98">
        <f>ROUND(I139*H139,2)</f>
        <v>137.29</v>
      </c>
      <c r="BL139" s="10" t="s">
        <v>83</v>
      </c>
      <c r="BM139" s="97" t="s">
        <v>216</v>
      </c>
    </row>
    <row r="140" spans="1:65" s="1" customFormat="1" ht="29.25" x14ac:dyDescent="0.2">
      <c r="A140" s="156"/>
      <c r="B140" s="16"/>
      <c r="C140" s="156"/>
      <c r="D140" s="99" t="s">
        <v>84</v>
      </c>
      <c r="E140" s="156"/>
      <c r="F140" s="100" t="s">
        <v>152</v>
      </c>
      <c r="G140" s="156"/>
      <c r="H140" s="156"/>
      <c r="I140" s="101"/>
      <c r="J140" s="156"/>
      <c r="K140" s="156"/>
      <c r="L140" s="16"/>
      <c r="M140" s="102"/>
      <c r="N140" s="103"/>
      <c r="O140" s="27"/>
      <c r="P140" s="27"/>
      <c r="Q140" s="27"/>
      <c r="R140" s="27"/>
      <c r="S140" s="27"/>
      <c r="T140" s="28"/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T140" s="10" t="s">
        <v>84</v>
      </c>
      <c r="AU140" s="10" t="s">
        <v>47</v>
      </c>
    </row>
    <row r="141" spans="1:65" s="1" customFormat="1" ht="29.25" x14ac:dyDescent="0.2">
      <c r="A141" s="156"/>
      <c r="B141" s="16"/>
      <c r="C141" s="156"/>
      <c r="D141" s="99" t="s">
        <v>86</v>
      </c>
      <c r="E141" s="156"/>
      <c r="F141" s="104" t="s">
        <v>217</v>
      </c>
      <c r="G141" s="156"/>
      <c r="H141" s="156"/>
      <c r="I141" s="101"/>
      <c r="J141" s="156"/>
      <c r="K141" s="156"/>
      <c r="L141" s="16"/>
      <c r="M141" s="102"/>
      <c r="N141" s="103"/>
      <c r="O141" s="27"/>
      <c r="P141" s="27"/>
      <c r="Q141" s="27"/>
      <c r="R141" s="27"/>
      <c r="S141" s="27"/>
      <c r="T141" s="28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T141" s="10" t="s">
        <v>86</v>
      </c>
      <c r="AU141" s="10" t="s">
        <v>47</v>
      </c>
    </row>
    <row r="142" spans="1:65" s="1" customFormat="1" ht="24.2" customHeight="1" x14ac:dyDescent="0.2">
      <c r="A142" s="156"/>
      <c r="B142" s="85"/>
      <c r="C142" s="86" t="s">
        <v>83</v>
      </c>
      <c r="D142" s="86" t="s">
        <v>78</v>
      </c>
      <c r="E142" s="87" t="s">
        <v>218</v>
      </c>
      <c r="F142" s="88" t="s">
        <v>219</v>
      </c>
      <c r="G142" s="89" t="s">
        <v>100</v>
      </c>
      <c r="H142" s="90">
        <v>0.54700000000000004</v>
      </c>
      <c r="I142" s="91">
        <v>23.091823190584471</v>
      </c>
      <c r="J142" s="92">
        <f>ROUND(I142*H142,2)</f>
        <v>12.63</v>
      </c>
      <c r="K142" s="88" t="s">
        <v>82</v>
      </c>
      <c r="L142" s="16"/>
      <c r="M142" s="93" t="s">
        <v>0</v>
      </c>
      <c r="N142" s="94" t="s">
        <v>27</v>
      </c>
      <c r="O142" s="27"/>
      <c r="P142" s="95">
        <f>O142*H142</f>
        <v>0</v>
      </c>
      <c r="Q142" s="95">
        <v>0</v>
      </c>
      <c r="R142" s="95">
        <f>Q142*H142</f>
        <v>0</v>
      </c>
      <c r="S142" s="95">
        <v>0</v>
      </c>
      <c r="T142" s="96">
        <f>S142*H142</f>
        <v>0</v>
      </c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R142" s="97" t="s">
        <v>83</v>
      </c>
      <c r="AT142" s="97" t="s">
        <v>78</v>
      </c>
      <c r="AU142" s="97" t="s">
        <v>47</v>
      </c>
      <c r="AY142" s="10" t="s">
        <v>75</v>
      </c>
      <c r="BE142" s="98">
        <f>IF(N142="základní",J142,0)</f>
        <v>12.63</v>
      </c>
      <c r="BF142" s="98">
        <f>IF(N142="snížená",J142,0)</f>
        <v>0</v>
      </c>
      <c r="BG142" s="98">
        <f>IF(N142="zákl. přenesená",J142,0)</f>
        <v>0</v>
      </c>
      <c r="BH142" s="98">
        <f>IF(N142="sníž. přenesená",J142,0)</f>
        <v>0</v>
      </c>
      <c r="BI142" s="98">
        <f>IF(N142="nulová",J142,0)</f>
        <v>0</v>
      </c>
      <c r="BJ142" s="10" t="s">
        <v>46</v>
      </c>
      <c r="BK142" s="98">
        <f>ROUND(I142*H142,2)</f>
        <v>12.63</v>
      </c>
      <c r="BL142" s="10" t="s">
        <v>83</v>
      </c>
      <c r="BM142" s="97" t="s">
        <v>220</v>
      </c>
    </row>
    <row r="143" spans="1:65" s="1" customFormat="1" ht="19.5" x14ac:dyDescent="0.2">
      <c r="A143" s="156"/>
      <c r="B143" s="16"/>
      <c r="C143" s="156"/>
      <c r="D143" s="99" t="s">
        <v>84</v>
      </c>
      <c r="E143" s="156"/>
      <c r="F143" s="100" t="s">
        <v>221</v>
      </c>
      <c r="G143" s="156"/>
      <c r="H143" s="156"/>
      <c r="I143" s="101"/>
      <c r="J143" s="156"/>
      <c r="K143" s="156"/>
      <c r="L143" s="16"/>
      <c r="M143" s="102"/>
      <c r="N143" s="103"/>
      <c r="O143" s="27"/>
      <c r="P143" s="27"/>
      <c r="Q143" s="27"/>
      <c r="R143" s="27"/>
      <c r="S143" s="27"/>
      <c r="T143" s="28"/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T143" s="10" t="s">
        <v>84</v>
      </c>
      <c r="AU143" s="10" t="s">
        <v>47</v>
      </c>
    </row>
    <row r="144" spans="1:65" s="1" customFormat="1" ht="29.25" x14ac:dyDescent="0.2">
      <c r="A144" s="156"/>
      <c r="B144" s="16"/>
      <c r="C144" s="156"/>
      <c r="D144" s="99" t="s">
        <v>86</v>
      </c>
      <c r="E144" s="156"/>
      <c r="F144" s="104" t="s">
        <v>217</v>
      </c>
      <c r="G144" s="156"/>
      <c r="H144" s="156"/>
      <c r="I144" s="101"/>
      <c r="J144" s="156"/>
      <c r="K144" s="156"/>
      <c r="L144" s="16"/>
      <c r="M144" s="102"/>
      <c r="N144" s="103"/>
      <c r="O144" s="27"/>
      <c r="P144" s="27"/>
      <c r="Q144" s="27"/>
      <c r="R144" s="27"/>
      <c r="S144" s="27"/>
      <c r="T144" s="28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T144" s="10" t="s">
        <v>86</v>
      </c>
      <c r="AU144" s="10" t="s">
        <v>47</v>
      </c>
    </row>
    <row r="145" spans="1:65" s="1" customFormat="1" x14ac:dyDescent="0.2">
      <c r="A145" s="169"/>
      <c r="B145" s="16"/>
      <c r="C145" s="169"/>
      <c r="D145" s="99"/>
      <c r="E145" s="169"/>
      <c r="F145" s="104" t="s">
        <v>447</v>
      </c>
      <c r="G145" s="169"/>
      <c r="H145" s="169">
        <f>5.47*0.1</f>
        <v>0.54700000000000004</v>
      </c>
      <c r="I145" s="101"/>
      <c r="J145" s="169"/>
      <c r="K145" s="169"/>
      <c r="L145" s="16"/>
      <c r="M145" s="102"/>
      <c r="N145" s="103"/>
      <c r="O145" s="27"/>
      <c r="P145" s="27"/>
      <c r="Q145" s="27"/>
      <c r="R145" s="27"/>
      <c r="S145" s="27"/>
      <c r="T145" s="28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T145" s="10"/>
      <c r="AU145" s="10"/>
    </row>
    <row r="146" spans="1:65" s="1" customFormat="1" ht="24.2" customHeight="1" x14ac:dyDescent="0.2">
      <c r="A146" s="156"/>
      <c r="B146" s="85"/>
      <c r="C146" s="86" t="s">
        <v>223</v>
      </c>
      <c r="D146" s="86" t="s">
        <v>78</v>
      </c>
      <c r="E146" s="87" t="s">
        <v>79</v>
      </c>
      <c r="F146" s="88" t="s">
        <v>80</v>
      </c>
      <c r="G146" s="89" t="s">
        <v>81</v>
      </c>
      <c r="H146" s="90">
        <v>4.7679999999999998</v>
      </c>
      <c r="I146" s="91">
        <v>285.201942457955</v>
      </c>
      <c r="J146" s="92">
        <f>ROUND(I146*H146,2)</f>
        <v>1359.84</v>
      </c>
      <c r="K146" s="88" t="s">
        <v>82</v>
      </c>
      <c r="L146" s="16"/>
      <c r="M146" s="93" t="s">
        <v>0</v>
      </c>
      <c r="N146" s="94" t="s">
        <v>27</v>
      </c>
      <c r="O146" s="27"/>
      <c r="P146" s="95">
        <f>O146*H146</f>
        <v>0</v>
      </c>
      <c r="Q146" s="95">
        <v>0</v>
      </c>
      <c r="R146" s="95">
        <f>Q146*H146</f>
        <v>0</v>
      </c>
      <c r="S146" s="95">
        <v>0</v>
      </c>
      <c r="T146" s="96">
        <f>S146*H146</f>
        <v>0</v>
      </c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R146" s="97" t="s">
        <v>83</v>
      </c>
      <c r="AT146" s="97" t="s">
        <v>78</v>
      </c>
      <c r="AU146" s="97" t="s">
        <v>47</v>
      </c>
      <c r="AY146" s="10" t="s">
        <v>75</v>
      </c>
      <c r="BE146" s="98">
        <f>IF(N146="základní",J146,0)</f>
        <v>1359.84</v>
      </c>
      <c r="BF146" s="98">
        <f>IF(N146="snížená",J146,0)</f>
        <v>0</v>
      </c>
      <c r="BG146" s="98">
        <f>IF(N146="zákl. přenesená",J146,0)</f>
        <v>0</v>
      </c>
      <c r="BH146" s="98">
        <f>IF(N146="sníž. přenesená",J146,0)</f>
        <v>0</v>
      </c>
      <c r="BI146" s="98">
        <f>IF(N146="nulová",J146,0)</f>
        <v>0</v>
      </c>
      <c r="BJ146" s="10" t="s">
        <v>46</v>
      </c>
      <c r="BK146" s="98">
        <f>ROUND(I146*H146,2)</f>
        <v>1359.84</v>
      </c>
      <c r="BL146" s="10" t="s">
        <v>83</v>
      </c>
      <c r="BM146" s="97" t="s">
        <v>224</v>
      </c>
    </row>
    <row r="147" spans="1:65" s="1" customFormat="1" ht="39" x14ac:dyDescent="0.2">
      <c r="A147" s="156"/>
      <c r="B147" s="16"/>
      <c r="C147" s="156"/>
      <c r="D147" s="99" t="s">
        <v>84</v>
      </c>
      <c r="E147" s="156"/>
      <c r="F147" s="100" t="s">
        <v>85</v>
      </c>
      <c r="G147" s="156"/>
      <c r="H147" s="156"/>
      <c r="I147" s="101"/>
      <c r="J147" s="156"/>
      <c r="K147" s="156"/>
      <c r="L147" s="16"/>
      <c r="M147" s="102"/>
      <c r="N147" s="103"/>
      <c r="O147" s="27"/>
      <c r="P147" s="27"/>
      <c r="Q147" s="27"/>
      <c r="R147" s="27"/>
      <c r="S147" s="27"/>
      <c r="T147" s="28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T147" s="10" t="s">
        <v>84</v>
      </c>
      <c r="AU147" s="10" t="s">
        <v>47</v>
      </c>
    </row>
    <row r="148" spans="1:65" s="1" customFormat="1" ht="39" x14ac:dyDescent="0.2">
      <c r="A148" s="156"/>
      <c r="B148" s="16"/>
      <c r="C148" s="156"/>
      <c r="D148" s="99" t="s">
        <v>86</v>
      </c>
      <c r="E148" s="156"/>
      <c r="F148" s="104" t="s">
        <v>225</v>
      </c>
      <c r="G148" s="156"/>
      <c r="H148" s="156"/>
      <c r="I148" s="101"/>
      <c r="J148" s="156"/>
      <c r="K148" s="156"/>
      <c r="L148" s="16"/>
      <c r="M148" s="102"/>
      <c r="N148" s="103"/>
      <c r="O148" s="27"/>
      <c r="P148" s="27"/>
      <c r="Q148" s="27"/>
      <c r="R148" s="27"/>
      <c r="S148" s="27"/>
      <c r="T148" s="28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T148" s="10" t="s">
        <v>86</v>
      </c>
      <c r="AU148" s="10" t="s">
        <v>47</v>
      </c>
    </row>
    <row r="149" spans="1:65" s="6" customFormat="1" ht="22.5" x14ac:dyDescent="0.2">
      <c r="B149" s="105"/>
      <c r="D149" s="99" t="s">
        <v>87</v>
      </c>
      <c r="E149" s="106" t="s">
        <v>0</v>
      </c>
      <c r="F149" s="107" t="s">
        <v>226</v>
      </c>
      <c r="H149" s="106" t="s">
        <v>0</v>
      </c>
      <c r="I149" s="108"/>
      <c r="L149" s="105"/>
      <c r="M149" s="109"/>
      <c r="N149" s="110"/>
      <c r="O149" s="110"/>
      <c r="P149" s="110"/>
      <c r="Q149" s="110"/>
      <c r="R149" s="110"/>
      <c r="S149" s="110"/>
      <c r="T149" s="111"/>
      <c r="AT149" s="106" t="s">
        <v>87</v>
      </c>
      <c r="AU149" s="106" t="s">
        <v>47</v>
      </c>
      <c r="AV149" s="6" t="s">
        <v>46</v>
      </c>
      <c r="AW149" s="6" t="s">
        <v>19</v>
      </c>
      <c r="AX149" s="6" t="s">
        <v>45</v>
      </c>
      <c r="AY149" s="106" t="s">
        <v>75</v>
      </c>
    </row>
    <row r="150" spans="1:65" s="7" customFormat="1" x14ac:dyDescent="0.2">
      <c r="B150" s="112"/>
      <c r="D150" s="99" t="s">
        <v>87</v>
      </c>
      <c r="E150" s="113" t="s">
        <v>0</v>
      </c>
      <c r="F150" s="114" t="s">
        <v>449</v>
      </c>
      <c r="H150" s="115">
        <f>5.47*(2.2-0.45)*0.9</f>
        <v>8.6152500000000014</v>
      </c>
      <c r="I150" s="116"/>
      <c r="L150" s="112"/>
      <c r="M150" s="117"/>
      <c r="N150" s="118"/>
      <c r="O150" s="118"/>
      <c r="P150" s="118"/>
      <c r="Q150" s="118"/>
      <c r="R150" s="118"/>
      <c r="S150" s="118"/>
      <c r="T150" s="119"/>
      <c r="AT150" s="113" t="s">
        <v>87</v>
      </c>
      <c r="AU150" s="113" t="s">
        <v>47</v>
      </c>
      <c r="AV150" s="7" t="s">
        <v>47</v>
      </c>
      <c r="AW150" s="7" t="s">
        <v>19</v>
      </c>
      <c r="AX150" s="7" t="s">
        <v>45</v>
      </c>
      <c r="AY150" s="113" t="s">
        <v>75</v>
      </c>
    </row>
    <row r="151" spans="1:65" s="6" customFormat="1" x14ac:dyDescent="0.2">
      <c r="B151" s="105"/>
      <c r="D151" s="99" t="s">
        <v>87</v>
      </c>
      <c r="E151" s="106" t="s">
        <v>0</v>
      </c>
      <c r="F151" s="107" t="s">
        <v>408</v>
      </c>
      <c r="H151" s="106" t="s">
        <v>0</v>
      </c>
      <c r="I151" s="108"/>
      <c r="L151" s="105"/>
      <c r="M151" s="109"/>
      <c r="N151" s="110"/>
      <c r="O151" s="110"/>
      <c r="P151" s="110"/>
      <c r="Q151" s="110"/>
      <c r="R151" s="110"/>
      <c r="S151" s="110"/>
      <c r="T151" s="111"/>
      <c r="AT151" s="106" t="s">
        <v>87</v>
      </c>
      <c r="AU151" s="106" t="s">
        <v>47</v>
      </c>
      <c r="AV151" s="6" t="s">
        <v>46</v>
      </c>
      <c r="AW151" s="6" t="s">
        <v>19</v>
      </c>
      <c r="AX151" s="6" t="s">
        <v>45</v>
      </c>
      <c r="AY151" s="106" t="s">
        <v>75</v>
      </c>
    </row>
    <row r="152" spans="1:65" s="7" customFormat="1" x14ac:dyDescent="0.2">
      <c r="B152" s="112"/>
      <c r="D152" s="99" t="s">
        <v>87</v>
      </c>
      <c r="E152" s="113" t="s">
        <v>0</v>
      </c>
      <c r="F152" s="114" t="s">
        <v>450</v>
      </c>
      <c r="H152" s="115">
        <f>5.47*(2.2-0.45)*0.1</f>
        <v>0.95725000000000016</v>
      </c>
      <c r="I152" s="116"/>
      <c r="L152" s="112"/>
      <c r="M152" s="117"/>
      <c r="N152" s="118"/>
      <c r="O152" s="118"/>
      <c r="P152" s="118"/>
      <c r="Q152" s="118"/>
      <c r="R152" s="118"/>
      <c r="S152" s="118"/>
      <c r="T152" s="119"/>
      <c r="AT152" s="113" t="s">
        <v>87</v>
      </c>
      <c r="AU152" s="113" t="s">
        <v>47</v>
      </c>
      <c r="AV152" s="7" t="s">
        <v>47</v>
      </c>
      <c r="AW152" s="7" t="s">
        <v>19</v>
      </c>
      <c r="AX152" s="7" t="s">
        <v>45</v>
      </c>
      <c r="AY152" s="113" t="s">
        <v>75</v>
      </c>
    </row>
    <row r="153" spans="1:65" s="8" customFormat="1" x14ac:dyDescent="0.2">
      <c r="B153" s="120"/>
      <c r="D153" s="99" t="s">
        <v>87</v>
      </c>
      <c r="E153" s="121" t="s">
        <v>0</v>
      </c>
      <c r="F153" s="122" t="s">
        <v>88</v>
      </c>
      <c r="H153" s="123">
        <f>H150+H152</f>
        <v>9.5725000000000016</v>
      </c>
      <c r="I153" s="124"/>
      <c r="L153" s="120"/>
      <c r="M153" s="125"/>
      <c r="N153" s="126"/>
      <c r="O153" s="126"/>
      <c r="P153" s="126"/>
      <c r="Q153" s="126"/>
      <c r="R153" s="126"/>
      <c r="S153" s="126"/>
      <c r="T153" s="127"/>
      <c r="AT153" s="121" t="s">
        <v>87</v>
      </c>
      <c r="AU153" s="121" t="s">
        <v>47</v>
      </c>
      <c r="AV153" s="8" t="s">
        <v>48</v>
      </c>
      <c r="AW153" s="8" t="s">
        <v>19</v>
      </c>
      <c r="AX153" s="8" t="s">
        <v>45</v>
      </c>
      <c r="AY153" s="121" t="s">
        <v>75</v>
      </c>
    </row>
    <row r="154" spans="1:65" s="7" customFormat="1" x14ac:dyDescent="0.2">
      <c r="B154" s="112"/>
      <c r="D154" s="99" t="s">
        <v>87</v>
      </c>
      <c r="E154" s="113" t="s">
        <v>0</v>
      </c>
      <c r="F154" s="114" t="s">
        <v>451</v>
      </c>
      <c r="H154" s="115">
        <f>H153*0.5</f>
        <v>4.7862500000000008</v>
      </c>
      <c r="I154" s="116"/>
      <c r="L154" s="112"/>
      <c r="M154" s="117"/>
      <c r="N154" s="118"/>
      <c r="O154" s="118"/>
      <c r="P154" s="118"/>
      <c r="Q154" s="118"/>
      <c r="R154" s="118"/>
      <c r="S154" s="118"/>
      <c r="T154" s="119"/>
      <c r="AT154" s="113" t="s">
        <v>87</v>
      </c>
      <c r="AU154" s="113" t="s">
        <v>47</v>
      </c>
      <c r="AV154" s="7" t="s">
        <v>47</v>
      </c>
      <c r="AW154" s="7" t="s">
        <v>19</v>
      </c>
      <c r="AX154" s="7" t="s">
        <v>46</v>
      </c>
      <c r="AY154" s="113" t="s">
        <v>75</v>
      </c>
    </row>
    <row r="155" spans="1:65" s="1" customFormat="1" ht="24.2" customHeight="1" x14ac:dyDescent="0.2">
      <c r="A155" s="156"/>
      <c r="B155" s="85"/>
      <c r="C155" s="86" t="s">
        <v>228</v>
      </c>
      <c r="D155" s="86" t="s">
        <v>78</v>
      </c>
      <c r="E155" s="87" t="s">
        <v>90</v>
      </c>
      <c r="F155" s="88" t="s">
        <v>91</v>
      </c>
      <c r="G155" s="89" t="s">
        <v>81</v>
      </c>
      <c r="H155" s="90">
        <v>4.7679999999999998</v>
      </c>
      <c r="I155" s="91">
        <v>390.55963566140201</v>
      </c>
      <c r="J155" s="92">
        <f>ROUND(I155*H155,2)</f>
        <v>1862.19</v>
      </c>
      <c r="K155" s="88" t="s">
        <v>82</v>
      </c>
      <c r="L155" s="16"/>
      <c r="M155" s="93" t="s">
        <v>0</v>
      </c>
      <c r="N155" s="94" t="s">
        <v>27</v>
      </c>
      <c r="O155" s="27"/>
      <c r="P155" s="95">
        <f>O155*H155</f>
        <v>0</v>
      </c>
      <c r="Q155" s="95">
        <v>0</v>
      </c>
      <c r="R155" s="95">
        <f>Q155*H155</f>
        <v>0</v>
      </c>
      <c r="S155" s="95">
        <v>0</v>
      </c>
      <c r="T155" s="96">
        <f>S155*H155</f>
        <v>0</v>
      </c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R155" s="97" t="s">
        <v>83</v>
      </c>
      <c r="AT155" s="97" t="s">
        <v>78</v>
      </c>
      <c r="AU155" s="97" t="s">
        <v>47</v>
      </c>
      <c r="AY155" s="10" t="s">
        <v>75</v>
      </c>
      <c r="BE155" s="98">
        <f>IF(N155="základní",J155,0)</f>
        <v>1862.19</v>
      </c>
      <c r="BF155" s="98">
        <f>IF(N155="snížená",J155,0)</f>
        <v>0</v>
      </c>
      <c r="BG155" s="98">
        <f>IF(N155="zákl. přenesená",J155,0)</f>
        <v>0</v>
      </c>
      <c r="BH155" s="98">
        <f>IF(N155="sníž. přenesená",J155,0)</f>
        <v>0</v>
      </c>
      <c r="BI155" s="98">
        <f>IF(N155="nulová",J155,0)</f>
        <v>0</v>
      </c>
      <c r="BJ155" s="10" t="s">
        <v>46</v>
      </c>
      <c r="BK155" s="98">
        <f>ROUND(I155*H155,2)</f>
        <v>1862.19</v>
      </c>
      <c r="BL155" s="10" t="s">
        <v>83</v>
      </c>
      <c r="BM155" s="97" t="s">
        <v>229</v>
      </c>
    </row>
    <row r="156" spans="1:65" s="1" customFormat="1" ht="39" x14ac:dyDescent="0.2">
      <c r="A156" s="156"/>
      <c r="B156" s="16"/>
      <c r="C156" s="156"/>
      <c r="D156" s="99" t="s">
        <v>84</v>
      </c>
      <c r="E156" s="156"/>
      <c r="F156" s="100" t="s">
        <v>92</v>
      </c>
      <c r="G156" s="156"/>
      <c r="H156" s="156"/>
      <c r="I156" s="101"/>
      <c r="J156" s="156"/>
      <c r="K156" s="156"/>
      <c r="L156" s="16"/>
      <c r="M156" s="102"/>
      <c r="N156" s="103"/>
      <c r="O156" s="27"/>
      <c r="P156" s="27"/>
      <c r="Q156" s="27"/>
      <c r="R156" s="27"/>
      <c r="S156" s="27"/>
      <c r="T156" s="28"/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T156" s="10" t="s">
        <v>84</v>
      </c>
      <c r="AU156" s="10" t="s">
        <v>47</v>
      </c>
    </row>
    <row r="157" spans="1:65" s="1" customFormat="1" ht="39" x14ac:dyDescent="0.2">
      <c r="A157" s="156"/>
      <c r="B157" s="16"/>
      <c r="C157" s="156"/>
      <c r="D157" s="99" t="s">
        <v>86</v>
      </c>
      <c r="E157" s="156"/>
      <c r="F157" s="104" t="s">
        <v>225</v>
      </c>
      <c r="G157" s="156"/>
      <c r="H157" s="156"/>
      <c r="I157" s="101"/>
      <c r="J157" s="156"/>
      <c r="K157" s="156"/>
      <c r="L157" s="16"/>
      <c r="M157" s="102"/>
      <c r="N157" s="103"/>
      <c r="O157" s="27"/>
      <c r="P157" s="27"/>
      <c r="Q157" s="27"/>
      <c r="R157" s="27"/>
      <c r="S157" s="27"/>
      <c r="T157" s="28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T157" s="10" t="s">
        <v>86</v>
      </c>
      <c r="AU157" s="10" t="s">
        <v>47</v>
      </c>
    </row>
    <row r="158" spans="1:65" s="1" customFormat="1" ht="24.2" customHeight="1" x14ac:dyDescent="0.2">
      <c r="A158" s="156"/>
      <c r="B158" s="85"/>
      <c r="C158" s="86" t="s">
        <v>230</v>
      </c>
      <c r="D158" s="86" t="s">
        <v>78</v>
      </c>
      <c r="E158" s="87" t="s">
        <v>94</v>
      </c>
      <c r="F158" s="88" t="s">
        <v>95</v>
      </c>
      <c r="G158" s="89" t="s">
        <v>81</v>
      </c>
      <c r="H158" s="90">
        <v>1.915</v>
      </c>
      <c r="I158" s="91">
        <v>650.27058629099099</v>
      </c>
      <c r="J158" s="92">
        <f>ROUND(I158*H158,2)</f>
        <v>1245.27</v>
      </c>
      <c r="K158" s="88" t="s">
        <v>82</v>
      </c>
      <c r="L158" s="16"/>
      <c r="M158" s="93" t="s">
        <v>0</v>
      </c>
      <c r="N158" s="94" t="s">
        <v>27</v>
      </c>
      <c r="O158" s="27"/>
      <c r="P158" s="95">
        <f>O158*H158</f>
        <v>0</v>
      </c>
      <c r="Q158" s="95">
        <v>0</v>
      </c>
      <c r="R158" s="95">
        <f>Q158*H158</f>
        <v>0</v>
      </c>
      <c r="S158" s="95">
        <v>0</v>
      </c>
      <c r="T158" s="96">
        <f>S158*H158</f>
        <v>0</v>
      </c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R158" s="97" t="s">
        <v>83</v>
      </c>
      <c r="AT158" s="97" t="s">
        <v>78</v>
      </c>
      <c r="AU158" s="97" t="s">
        <v>47</v>
      </c>
      <c r="AY158" s="10" t="s">
        <v>75</v>
      </c>
      <c r="BE158" s="98">
        <f>IF(N158="základní",J158,0)</f>
        <v>1245.27</v>
      </c>
      <c r="BF158" s="98">
        <f>IF(N158="snížená",J158,0)</f>
        <v>0</v>
      </c>
      <c r="BG158" s="98">
        <f>IF(N158="zákl. přenesená",J158,0)</f>
        <v>0</v>
      </c>
      <c r="BH158" s="98">
        <f>IF(N158="sníž. přenesená",J158,0)</f>
        <v>0</v>
      </c>
      <c r="BI158" s="98">
        <f>IF(N158="nulová",J158,0)</f>
        <v>0</v>
      </c>
      <c r="BJ158" s="10" t="s">
        <v>46</v>
      </c>
      <c r="BK158" s="98">
        <f>ROUND(I158*H158,2)</f>
        <v>1245.27</v>
      </c>
      <c r="BL158" s="10" t="s">
        <v>83</v>
      </c>
      <c r="BM158" s="97" t="s">
        <v>231</v>
      </c>
    </row>
    <row r="159" spans="1:65" s="1" customFormat="1" ht="29.25" x14ac:dyDescent="0.2">
      <c r="A159" s="156"/>
      <c r="B159" s="16"/>
      <c r="C159" s="156"/>
      <c r="D159" s="99" t="s">
        <v>84</v>
      </c>
      <c r="E159" s="156"/>
      <c r="F159" s="100" t="s">
        <v>96</v>
      </c>
      <c r="G159" s="156"/>
      <c r="H159" s="156"/>
      <c r="I159" s="101"/>
      <c r="J159" s="156"/>
      <c r="K159" s="156"/>
      <c r="L159" s="16"/>
      <c r="M159" s="102"/>
      <c r="N159" s="103"/>
      <c r="O159" s="27"/>
      <c r="P159" s="27"/>
      <c r="Q159" s="27"/>
      <c r="R159" s="27"/>
      <c r="S159" s="27"/>
      <c r="T159" s="28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T159" s="10" t="s">
        <v>84</v>
      </c>
      <c r="AU159" s="10" t="s">
        <v>47</v>
      </c>
    </row>
    <row r="160" spans="1:65" s="6" customFormat="1" x14ac:dyDescent="0.2">
      <c r="B160" s="105"/>
      <c r="D160" s="99" t="s">
        <v>87</v>
      </c>
      <c r="E160" s="106" t="s">
        <v>0</v>
      </c>
      <c r="F160" s="107" t="s">
        <v>97</v>
      </c>
      <c r="H160" s="106" t="s">
        <v>0</v>
      </c>
      <c r="I160" s="108"/>
      <c r="L160" s="105"/>
      <c r="M160" s="109"/>
      <c r="N160" s="110"/>
      <c r="O160" s="110"/>
      <c r="P160" s="110"/>
      <c r="Q160" s="110"/>
      <c r="R160" s="110"/>
      <c r="S160" s="110"/>
      <c r="T160" s="111"/>
      <c r="AT160" s="106" t="s">
        <v>87</v>
      </c>
      <c r="AU160" s="106" t="s">
        <v>47</v>
      </c>
      <c r="AV160" s="6" t="s">
        <v>46</v>
      </c>
      <c r="AW160" s="6" t="s">
        <v>19</v>
      </c>
      <c r="AX160" s="6" t="s">
        <v>45</v>
      </c>
      <c r="AY160" s="106" t="s">
        <v>75</v>
      </c>
    </row>
    <row r="161" spans="1:65" s="7" customFormat="1" x14ac:dyDescent="0.2">
      <c r="B161" s="112"/>
      <c r="D161" s="99" t="s">
        <v>87</v>
      </c>
      <c r="E161" s="113" t="s">
        <v>0</v>
      </c>
      <c r="F161" s="114" t="s">
        <v>452</v>
      </c>
      <c r="H161" s="115">
        <f>9.573*0.2</f>
        <v>1.9146000000000001</v>
      </c>
      <c r="I161" s="116"/>
      <c r="L161" s="112"/>
      <c r="M161" s="117"/>
      <c r="N161" s="118"/>
      <c r="O161" s="118"/>
      <c r="P161" s="118"/>
      <c r="Q161" s="118"/>
      <c r="R161" s="118"/>
      <c r="S161" s="118"/>
      <c r="T161" s="119"/>
      <c r="AT161" s="113" t="s">
        <v>87</v>
      </c>
      <c r="AU161" s="113" t="s">
        <v>47</v>
      </c>
      <c r="AV161" s="7" t="s">
        <v>47</v>
      </c>
      <c r="AW161" s="7" t="s">
        <v>19</v>
      </c>
      <c r="AX161" s="7" t="s">
        <v>46</v>
      </c>
      <c r="AY161" s="113" t="s">
        <v>75</v>
      </c>
    </row>
    <row r="162" spans="1:65" s="1" customFormat="1" ht="14.45" customHeight="1" x14ac:dyDescent="0.2">
      <c r="A162" s="156"/>
      <c r="B162" s="85"/>
      <c r="C162" s="86" t="s">
        <v>129</v>
      </c>
      <c r="D162" s="86" t="s">
        <v>78</v>
      </c>
      <c r="E162" s="87" t="s">
        <v>98</v>
      </c>
      <c r="F162" s="88" t="s">
        <v>99</v>
      </c>
      <c r="G162" s="89" t="s">
        <v>100</v>
      </c>
      <c r="H162" s="90">
        <v>24.068000000000001</v>
      </c>
      <c r="I162" s="91">
        <v>156.6895922457376</v>
      </c>
      <c r="J162" s="92">
        <f>ROUND(I162*H162,2)</f>
        <v>3771.21</v>
      </c>
      <c r="K162" s="88" t="s">
        <v>82</v>
      </c>
      <c r="L162" s="16"/>
      <c r="M162" s="93" t="s">
        <v>0</v>
      </c>
      <c r="N162" s="94" t="s">
        <v>27</v>
      </c>
      <c r="O162" s="27"/>
      <c r="P162" s="95">
        <f>O162*H162</f>
        <v>0</v>
      </c>
      <c r="Q162" s="95">
        <v>5.9000000000000003E-4</v>
      </c>
      <c r="R162" s="95">
        <f>Q162*H162</f>
        <v>1.4200120000000002E-2</v>
      </c>
      <c r="S162" s="95">
        <v>0</v>
      </c>
      <c r="T162" s="96">
        <f>S162*H162</f>
        <v>0</v>
      </c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R162" s="97" t="s">
        <v>83</v>
      </c>
      <c r="AT162" s="97" t="s">
        <v>78</v>
      </c>
      <c r="AU162" s="97" t="s">
        <v>47</v>
      </c>
      <c r="AY162" s="10" t="s">
        <v>75</v>
      </c>
      <c r="BE162" s="98">
        <f>IF(N162="základní",J162,0)</f>
        <v>3771.21</v>
      </c>
      <c r="BF162" s="98">
        <f>IF(N162="snížená",J162,0)</f>
        <v>0</v>
      </c>
      <c r="BG162" s="98">
        <f>IF(N162="zákl. přenesená",J162,0)</f>
        <v>0</v>
      </c>
      <c r="BH162" s="98">
        <f>IF(N162="sníž. přenesená",J162,0)</f>
        <v>0</v>
      </c>
      <c r="BI162" s="98">
        <f>IF(N162="nulová",J162,0)</f>
        <v>0</v>
      </c>
      <c r="BJ162" s="10" t="s">
        <v>46</v>
      </c>
      <c r="BK162" s="98">
        <f>ROUND(I162*H162,2)</f>
        <v>3771.21</v>
      </c>
      <c r="BL162" s="10" t="s">
        <v>83</v>
      </c>
      <c r="BM162" s="97" t="s">
        <v>232</v>
      </c>
    </row>
    <row r="163" spans="1:65" s="1" customFormat="1" ht="19.5" x14ac:dyDescent="0.2">
      <c r="A163" s="156"/>
      <c r="B163" s="16"/>
      <c r="C163" s="156"/>
      <c r="D163" s="99" t="s">
        <v>84</v>
      </c>
      <c r="E163" s="156"/>
      <c r="F163" s="100" t="s">
        <v>101</v>
      </c>
      <c r="G163" s="156"/>
      <c r="H163" s="156"/>
      <c r="I163" s="101"/>
      <c r="J163" s="156"/>
      <c r="K163" s="156"/>
      <c r="L163" s="16"/>
      <c r="M163" s="102"/>
      <c r="N163" s="103"/>
      <c r="O163" s="27"/>
      <c r="P163" s="27"/>
      <c r="Q163" s="27"/>
      <c r="R163" s="27"/>
      <c r="S163" s="27"/>
      <c r="T163" s="28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T163" s="10" t="s">
        <v>84</v>
      </c>
      <c r="AU163" s="10" t="s">
        <v>47</v>
      </c>
    </row>
    <row r="164" spans="1:65" s="1" customFormat="1" ht="29.25" x14ac:dyDescent="0.2">
      <c r="A164" s="156"/>
      <c r="B164" s="16"/>
      <c r="C164" s="156"/>
      <c r="D164" s="99" t="s">
        <v>86</v>
      </c>
      <c r="E164" s="156"/>
      <c r="F164" s="104" t="s">
        <v>217</v>
      </c>
      <c r="G164" s="156"/>
      <c r="H164" s="156"/>
      <c r="I164" s="101"/>
      <c r="J164" s="156"/>
      <c r="K164" s="156"/>
      <c r="L164" s="16"/>
      <c r="M164" s="102"/>
      <c r="N164" s="103"/>
      <c r="O164" s="27"/>
      <c r="P164" s="27"/>
      <c r="Q164" s="27"/>
      <c r="R164" s="27"/>
      <c r="S164" s="27"/>
      <c r="T164" s="28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T164" s="10" t="s">
        <v>86</v>
      </c>
      <c r="AU164" s="10" t="s">
        <v>47</v>
      </c>
    </row>
    <row r="165" spans="1:65" s="7" customFormat="1" x14ac:dyDescent="0.2">
      <c r="B165" s="112"/>
      <c r="D165" s="99" t="s">
        <v>87</v>
      </c>
      <c r="E165" s="113" t="s">
        <v>0</v>
      </c>
      <c r="F165" s="114" t="s">
        <v>453</v>
      </c>
      <c r="H165" s="115">
        <f>5.47*2.2*2</f>
        <v>24.068000000000001</v>
      </c>
      <c r="I165" s="116"/>
      <c r="L165" s="112"/>
      <c r="M165" s="117"/>
      <c r="N165" s="118"/>
      <c r="O165" s="118"/>
      <c r="P165" s="118"/>
      <c r="Q165" s="118"/>
      <c r="R165" s="118"/>
      <c r="S165" s="118"/>
      <c r="T165" s="119"/>
      <c r="AT165" s="113" t="s">
        <v>87</v>
      </c>
      <c r="AU165" s="113" t="s">
        <v>47</v>
      </c>
      <c r="AV165" s="7" t="s">
        <v>47</v>
      </c>
      <c r="AW165" s="7" t="s">
        <v>19</v>
      </c>
      <c r="AX165" s="7" t="s">
        <v>46</v>
      </c>
      <c r="AY165" s="113" t="s">
        <v>75</v>
      </c>
    </row>
    <row r="166" spans="1:65" s="1" customFormat="1" ht="14.45" customHeight="1" x14ac:dyDescent="0.2">
      <c r="A166" s="156"/>
      <c r="B166" s="85"/>
      <c r="C166" s="86" t="s">
        <v>233</v>
      </c>
      <c r="D166" s="86" t="s">
        <v>78</v>
      </c>
      <c r="E166" s="87" t="s">
        <v>105</v>
      </c>
      <c r="F166" s="88" t="s">
        <v>106</v>
      </c>
      <c r="G166" s="89" t="s">
        <v>100</v>
      </c>
      <c r="H166" s="90">
        <v>24.068000000000001</v>
      </c>
      <c r="I166" s="91">
        <v>103.33666316345877</v>
      </c>
      <c r="J166" s="92">
        <f>ROUND(I166*H166,2)</f>
        <v>2487.11</v>
      </c>
      <c r="K166" s="88" t="s">
        <v>82</v>
      </c>
      <c r="L166" s="16"/>
      <c r="M166" s="93" t="s">
        <v>0</v>
      </c>
      <c r="N166" s="94" t="s">
        <v>27</v>
      </c>
      <c r="O166" s="27"/>
      <c r="P166" s="95">
        <f>O166*H166</f>
        <v>0</v>
      </c>
      <c r="Q166" s="95">
        <v>0</v>
      </c>
      <c r="R166" s="95">
        <f>Q166*H166</f>
        <v>0</v>
      </c>
      <c r="S166" s="95">
        <v>0</v>
      </c>
      <c r="T166" s="96">
        <f>S166*H166</f>
        <v>0</v>
      </c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R166" s="97" t="s">
        <v>83</v>
      </c>
      <c r="AT166" s="97" t="s">
        <v>78</v>
      </c>
      <c r="AU166" s="97" t="s">
        <v>47</v>
      </c>
      <c r="AY166" s="10" t="s">
        <v>75</v>
      </c>
      <c r="BE166" s="98">
        <f>IF(N166="základní",J166,0)</f>
        <v>2487.11</v>
      </c>
      <c r="BF166" s="98">
        <f>IF(N166="snížená",J166,0)</f>
        <v>0</v>
      </c>
      <c r="BG166" s="98">
        <f>IF(N166="zákl. přenesená",J166,0)</f>
        <v>0</v>
      </c>
      <c r="BH166" s="98">
        <f>IF(N166="sníž. přenesená",J166,0)</f>
        <v>0</v>
      </c>
      <c r="BI166" s="98">
        <f>IF(N166="nulová",J166,0)</f>
        <v>0</v>
      </c>
      <c r="BJ166" s="10" t="s">
        <v>46</v>
      </c>
      <c r="BK166" s="98">
        <f>ROUND(I166*H166,2)</f>
        <v>2487.11</v>
      </c>
      <c r="BL166" s="10" t="s">
        <v>83</v>
      </c>
      <c r="BM166" s="97" t="s">
        <v>234</v>
      </c>
    </row>
    <row r="167" spans="1:65" s="1" customFormat="1" ht="19.5" x14ac:dyDescent="0.2">
      <c r="A167" s="156"/>
      <c r="B167" s="16"/>
      <c r="C167" s="156"/>
      <c r="D167" s="99" t="s">
        <v>84</v>
      </c>
      <c r="E167" s="156"/>
      <c r="F167" s="100" t="s">
        <v>107</v>
      </c>
      <c r="G167" s="156"/>
      <c r="H167" s="156"/>
      <c r="I167" s="101"/>
      <c r="J167" s="156"/>
      <c r="K167" s="156"/>
      <c r="L167" s="16"/>
      <c r="M167" s="102"/>
      <c r="N167" s="103"/>
      <c r="O167" s="27"/>
      <c r="P167" s="27"/>
      <c r="Q167" s="27"/>
      <c r="R167" s="27"/>
      <c r="S167" s="27"/>
      <c r="T167" s="28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T167" s="10" t="s">
        <v>84</v>
      </c>
      <c r="AU167" s="10" t="s">
        <v>47</v>
      </c>
    </row>
    <row r="168" spans="1:65" s="1" customFormat="1" ht="37.9" customHeight="1" x14ac:dyDescent="0.2">
      <c r="A168" s="156"/>
      <c r="B168" s="85"/>
      <c r="C168" s="86" t="s">
        <v>235</v>
      </c>
      <c r="D168" s="86" t="s">
        <v>78</v>
      </c>
      <c r="E168" s="87" t="s">
        <v>109</v>
      </c>
      <c r="F168" s="88" t="s">
        <v>110</v>
      </c>
      <c r="G168" s="89" t="s">
        <v>81</v>
      </c>
      <c r="H168" s="90">
        <v>9.5359999999999996</v>
      </c>
      <c r="I168" s="91">
        <v>262.06861194786097</v>
      </c>
      <c r="J168" s="92">
        <f>ROUND(I168*H168,2)</f>
        <v>2499.09</v>
      </c>
      <c r="K168" s="88" t="s">
        <v>82</v>
      </c>
      <c r="L168" s="16"/>
      <c r="M168" s="93" t="s">
        <v>0</v>
      </c>
      <c r="N168" s="94" t="s">
        <v>27</v>
      </c>
      <c r="O168" s="27"/>
      <c r="P168" s="95">
        <f>O168*H168</f>
        <v>0</v>
      </c>
      <c r="Q168" s="95">
        <v>0</v>
      </c>
      <c r="R168" s="95">
        <f>Q168*H168</f>
        <v>0</v>
      </c>
      <c r="S168" s="95">
        <v>0</v>
      </c>
      <c r="T168" s="96">
        <f>S168*H168</f>
        <v>0</v>
      </c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R168" s="97" t="s">
        <v>83</v>
      </c>
      <c r="AT168" s="97" t="s">
        <v>78</v>
      </c>
      <c r="AU168" s="97" t="s">
        <v>47</v>
      </c>
      <c r="AY168" s="10" t="s">
        <v>75</v>
      </c>
      <c r="BE168" s="98">
        <f>IF(N168="základní",J168,0)</f>
        <v>2499.09</v>
      </c>
      <c r="BF168" s="98">
        <f>IF(N168="snížená",J168,0)</f>
        <v>0</v>
      </c>
      <c r="BG168" s="98">
        <f>IF(N168="zákl. přenesená",J168,0)</f>
        <v>0</v>
      </c>
      <c r="BH168" s="98">
        <f>IF(N168="sníž. přenesená",J168,0)</f>
        <v>0</v>
      </c>
      <c r="BI168" s="98">
        <f>IF(N168="nulová",J168,0)</f>
        <v>0</v>
      </c>
      <c r="BJ168" s="10" t="s">
        <v>46</v>
      </c>
      <c r="BK168" s="98">
        <f>ROUND(I168*H168,2)</f>
        <v>2499.09</v>
      </c>
      <c r="BL168" s="10" t="s">
        <v>83</v>
      </c>
      <c r="BM168" s="97" t="s">
        <v>236</v>
      </c>
    </row>
    <row r="169" spans="1:65" s="1" customFormat="1" ht="39" x14ac:dyDescent="0.2">
      <c r="A169" s="156"/>
      <c r="B169" s="16"/>
      <c r="C169" s="156"/>
      <c r="D169" s="99" t="s">
        <v>84</v>
      </c>
      <c r="E169" s="156"/>
      <c r="F169" s="100" t="s">
        <v>111</v>
      </c>
      <c r="G169" s="156"/>
      <c r="H169" s="156"/>
      <c r="I169" s="101"/>
      <c r="J169" s="156"/>
      <c r="K169" s="156"/>
      <c r="L169" s="16"/>
      <c r="M169" s="102"/>
      <c r="N169" s="103"/>
      <c r="O169" s="27"/>
      <c r="P169" s="27"/>
      <c r="Q169" s="27"/>
      <c r="R169" s="27"/>
      <c r="S169" s="27"/>
      <c r="T169" s="28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T169" s="10" t="s">
        <v>84</v>
      </c>
      <c r="AU169" s="10" t="s">
        <v>47</v>
      </c>
    </row>
    <row r="170" spans="1:65" s="9" customFormat="1" x14ac:dyDescent="0.2">
      <c r="B170" s="128"/>
      <c r="D170" s="99" t="s">
        <v>87</v>
      </c>
      <c r="E170" s="129" t="s">
        <v>0</v>
      </c>
      <c r="F170" s="130" t="s">
        <v>103</v>
      </c>
      <c r="H170" s="131">
        <v>9.5359999999999996</v>
      </c>
      <c r="I170" s="132"/>
      <c r="L170" s="128"/>
      <c r="M170" s="133"/>
      <c r="N170" s="134"/>
      <c r="O170" s="134"/>
      <c r="P170" s="134"/>
      <c r="Q170" s="134"/>
      <c r="R170" s="134"/>
      <c r="S170" s="134"/>
      <c r="T170" s="135"/>
      <c r="AT170" s="129" t="s">
        <v>87</v>
      </c>
      <c r="AU170" s="129" t="s">
        <v>47</v>
      </c>
      <c r="AV170" s="9" t="s">
        <v>83</v>
      </c>
      <c r="AW170" s="9" t="s">
        <v>19</v>
      </c>
      <c r="AX170" s="9" t="s">
        <v>46</v>
      </c>
      <c r="AY170" s="129" t="s">
        <v>75</v>
      </c>
    </row>
    <row r="171" spans="1:65" s="1" customFormat="1" ht="37.9" customHeight="1" x14ac:dyDescent="0.2">
      <c r="A171" s="156"/>
      <c r="B171" s="85"/>
      <c r="C171" s="86" t="s">
        <v>237</v>
      </c>
      <c r="D171" s="86" t="s">
        <v>78</v>
      </c>
      <c r="E171" s="87" t="s">
        <v>238</v>
      </c>
      <c r="F171" s="88" t="s">
        <v>239</v>
      </c>
      <c r="G171" s="89" t="s">
        <v>81</v>
      </c>
      <c r="H171" s="90">
        <v>0.9536</v>
      </c>
      <c r="I171" s="91">
        <v>282.06861194786097</v>
      </c>
      <c r="J171" s="92">
        <f>ROUND(I171*H171,2)</f>
        <v>268.98</v>
      </c>
      <c r="K171" s="88" t="s">
        <v>0</v>
      </c>
      <c r="L171" s="16"/>
      <c r="M171" s="93" t="s">
        <v>0</v>
      </c>
      <c r="N171" s="94" t="s">
        <v>27</v>
      </c>
      <c r="O171" s="27"/>
      <c r="P171" s="95">
        <f>O171*H171</f>
        <v>0</v>
      </c>
      <c r="Q171" s="95">
        <v>0</v>
      </c>
      <c r="R171" s="95">
        <f>Q171*H171</f>
        <v>0</v>
      </c>
      <c r="S171" s="95">
        <v>0</v>
      </c>
      <c r="T171" s="96">
        <f>S171*H171</f>
        <v>0</v>
      </c>
      <c r="U171" s="156"/>
      <c r="V171" s="156"/>
      <c r="W171" s="156"/>
      <c r="X171" s="156"/>
      <c r="Y171" s="156"/>
      <c r="Z171" s="156"/>
      <c r="AA171" s="156"/>
      <c r="AB171" s="156"/>
      <c r="AC171" s="156"/>
      <c r="AD171" s="156"/>
      <c r="AE171" s="156"/>
      <c r="AR171" s="97" t="s">
        <v>83</v>
      </c>
      <c r="AT171" s="97" t="s">
        <v>78</v>
      </c>
      <c r="AU171" s="97" t="s">
        <v>47</v>
      </c>
      <c r="AY171" s="10" t="s">
        <v>75</v>
      </c>
      <c r="BE171" s="98">
        <f>IF(N171="základní",J171,0)</f>
        <v>268.98</v>
      </c>
      <c r="BF171" s="98">
        <f>IF(N171="snížená",J171,0)</f>
        <v>0</v>
      </c>
      <c r="BG171" s="98">
        <f>IF(N171="zákl. přenesená",J171,0)</f>
        <v>0</v>
      </c>
      <c r="BH171" s="98">
        <f>IF(N171="sníž. přenesená",J171,0)</f>
        <v>0</v>
      </c>
      <c r="BI171" s="98">
        <f>IF(N171="nulová",J171,0)</f>
        <v>0</v>
      </c>
      <c r="BJ171" s="10" t="s">
        <v>46</v>
      </c>
      <c r="BK171" s="98">
        <f>ROUND(I171*H171,2)</f>
        <v>268.98</v>
      </c>
      <c r="BL171" s="10" t="s">
        <v>83</v>
      </c>
      <c r="BM171" s="97" t="s">
        <v>240</v>
      </c>
    </row>
    <row r="172" spans="1:65" s="1" customFormat="1" ht="39" x14ac:dyDescent="0.2">
      <c r="A172" s="156"/>
      <c r="B172" s="16"/>
      <c r="C172" s="156"/>
      <c r="D172" s="99" t="s">
        <v>84</v>
      </c>
      <c r="E172" s="156"/>
      <c r="F172" s="100" t="s">
        <v>111</v>
      </c>
      <c r="G172" s="156"/>
      <c r="H172" s="156"/>
      <c r="I172" s="101"/>
      <c r="J172" s="156"/>
      <c r="K172" s="156"/>
      <c r="L172" s="16"/>
      <c r="M172" s="102"/>
      <c r="N172" s="103"/>
      <c r="O172" s="27"/>
      <c r="P172" s="27"/>
      <c r="Q172" s="27"/>
      <c r="R172" s="27"/>
      <c r="S172" s="27"/>
      <c r="T172" s="28"/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T172" s="10" t="s">
        <v>84</v>
      </c>
      <c r="AU172" s="10" t="s">
        <v>47</v>
      </c>
    </row>
    <row r="173" spans="1:65" s="1" customFormat="1" x14ac:dyDescent="0.2">
      <c r="A173" s="169"/>
      <c r="B173" s="16"/>
      <c r="C173" s="169"/>
      <c r="D173" s="99"/>
      <c r="E173" s="169"/>
      <c r="F173" s="100" t="s">
        <v>454</v>
      </c>
      <c r="G173" s="169"/>
      <c r="H173" s="169">
        <f>9.536*0.1</f>
        <v>0.9536</v>
      </c>
      <c r="I173" s="101"/>
      <c r="J173" s="169"/>
      <c r="K173" s="169"/>
      <c r="L173" s="16"/>
      <c r="M173" s="102"/>
      <c r="N173" s="103"/>
      <c r="O173" s="27"/>
      <c r="P173" s="27"/>
      <c r="Q173" s="27"/>
      <c r="R173" s="27"/>
      <c r="S173" s="27"/>
      <c r="T173" s="28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T173" s="10"/>
      <c r="AU173" s="10"/>
    </row>
    <row r="174" spans="1:65" s="1" customFormat="1" ht="37.9" customHeight="1" x14ac:dyDescent="0.2">
      <c r="A174" s="156"/>
      <c r="B174" s="85"/>
      <c r="C174" s="86" t="s">
        <v>77</v>
      </c>
      <c r="D174" s="86" t="s">
        <v>78</v>
      </c>
      <c r="E174" s="87" t="s">
        <v>113</v>
      </c>
      <c r="F174" s="88" t="s">
        <v>114</v>
      </c>
      <c r="G174" s="89" t="s">
        <v>81</v>
      </c>
      <c r="H174" s="90">
        <v>47.68</v>
      </c>
      <c r="I174" s="91">
        <v>3.4208109177592001</v>
      </c>
      <c r="J174" s="92">
        <f>ROUND(I174*H174,2)</f>
        <v>163.1</v>
      </c>
      <c r="K174" s="88" t="s">
        <v>82</v>
      </c>
      <c r="L174" s="16"/>
      <c r="M174" s="93" t="s">
        <v>0</v>
      </c>
      <c r="N174" s="94" t="s">
        <v>27</v>
      </c>
      <c r="O174" s="27"/>
      <c r="P174" s="95">
        <f>O174*H174</f>
        <v>0</v>
      </c>
      <c r="Q174" s="95">
        <v>0</v>
      </c>
      <c r="R174" s="95">
        <f>Q174*H174</f>
        <v>0</v>
      </c>
      <c r="S174" s="95">
        <v>0</v>
      </c>
      <c r="T174" s="96">
        <f>S174*H174</f>
        <v>0</v>
      </c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R174" s="97" t="s">
        <v>83</v>
      </c>
      <c r="AT174" s="97" t="s">
        <v>78</v>
      </c>
      <c r="AU174" s="97" t="s">
        <v>47</v>
      </c>
      <c r="AY174" s="10" t="s">
        <v>75</v>
      </c>
      <c r="BE174" s="98">
        <f>IF(N174="základní",J174,0)</f>
        <v>163.1</v>
      </c>
      <c r="BF174" s="98">
        <f>IF(N174="snížená",J174,0)</f>
        <v>0</v>
      </c>
      <c r="BG174" s="98">
        <f>IF(N174="zákl. přenesená",J174,0)</f>
        <v>0</v>
      </c>
      <c r="BH174" s="98">
        <f>IF(N174="sníž. přenesená",J174,0)</f>
        <v>0</v>
      </c>
      <c r="BI174" s="98">
        <f>IF(N174="nulová",J174,0)</f>
        <v>0</v>
      </c>
      <c r="BJ174" s="10" t="s">
        <v>46</v>
      </c>
      <c r="BK174" s="98">
        <f>ROUND(I174*H174,2)</f>
        <v>163.1</v>
      </c>
      <c r="BL174" s="10" t="s">
        <v>83</v>
      </c>
      <c r="BM174" s="97" t="s">
        <v>241</v>
      </c>
    </row>
    <row r="175" spans="1:65" s="1" customFormat="1" ht="48.75" x14ac:dyDescent="0.2">
      <c r="A175" s="156"/>
      <c r="B175" s="16"/>
      <c r="C175" s="156"/>
      <c r="D175" s="99" t="s">
        <v>84</v>
      </c>
      <c r="E175" s="156"/>
      <c r="F175" s="100" t="s">
        <v>115</v>
      </c>
      <c r="G175" s="156"/>
      <c r="H175" s="156"/>
      <c r="I175" s="101"/>
      <c r="J175" s="156"/>
      <c r="K175" s="156"/>
      <c r="L175" s="16"/>
      <c r="M175" s="102"/>
      <c r="N175" s="103"/>
      <c r="O175" s="27"/>
      <c r="P175" s="27"/>
      <c r="Q175" s="27"/>
      <c r="R175" s="27"/>
      <c r="S175" s="27"/>
      <c r="T175" s="28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T175" s="10" t="s">
        <v>84</v>
      </c>
      <c r="AU175" s="10" t="s">
        <v>47</v>
      </c>
    </row>
    <row r="176" spans="1:65" s="7" customFormat="1" x14ac:dyDescent="0.2">
      <c r="B176" s="112"/>
      <c r="D176" s="99" t="s">
        <v>87</v>
      </c>
      <c r="F176" s="114" t="s">
        <v>455</v>
      </c>
      <c r="H176" s="115">
        <f>9.536*5</f>
        <v>47.68</v>
      </c>
      <c r="I176" s="116"/>
      <c r="L176" s="112"/>
      <c r="M176" s="117"/>
      <c r="N176" s="118"/>
      <c r="O176" s="118"/>
      <c r="P176" s="118"/>
      <c r="Q176" s="118"/>
      <c r="R176" s="118"/>
      <c r="S176" s="118"/>
      <c r="T176" s="119"/>
      <c r="AT176" s="113" t="s">
        <v>87</v>
      </c>
      <c r="AU176" s="113" t="s">
        <v>47</v>
      </c>
      <c r="AV176" s="7" t="s">
        <v>47</v>
      </c>
      <c r="AW176" s="7" t="s">
        <v>1</v>
      </c>
      <c r="AX176" s="7" t="s">
        <v>46</v>
      </c>
      <c r="AY176" s="113" t="s">
        <v>75</v>
      </c>
    </row>
    <row r="177" spans="1:65" s="1" customFormat="1" ht="37.9" customHeight="1" x14ac:dyDescent="0.2">
      <c r="A177" s="156"/>
      <c r="B177" s="85"/>
      <c r="C177" s="86" t="s">
        <v>89</v>
      </c>
      <c r="D177" s="86" t="s">
        <v>78</v>
      </c>
      <c r="E177" s="87" t="s">
        <v>242</v>
      </c>
      <c r="F177" s="88" t="s">
        <v>243</v>
      </c>
      <c r="G177" s="89" t="s">
        <v>81</v>
      </c>
      <c r="H177" s="90">
        <v>4.7699999999999996</v>
      </c>
      <c r="I177" s="91">
        <v>3.4208109177592001</v>
      </c>
      <c r="J177" s="92">
        <f>ROUND(I177*H177,2)</f>
        <v>16.32</v>
      </c>
      <c r="K177" s="88" t="s">
        <v>0</v>
      </c>
      <c r="L177" s="16"/>
      <c r="M177" s="93" t="s">
        <v>0</v>
      </c>
      <c r="N177" s="94" t="s">
        <v>27</v>
      </c>
      <c r="O177" s="27"/>
      <c r="P177" s="95">
        <f>O177*H177</f>
        <v>0</v>
      </c>
      <c r="Q177" s="95">
        <v>0</v>
      </c>
      <c r="R177" s="95">
        <f>Q177*H177</f>
        <v>0</v>
      </c>
      <c r="S177" s="95">
        <v>0</v>
      </c>
      <c r="T177" s="96">
        <f>S177*H177</f>
        <v>0</v>
      </c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R177" s="97" t="s">
        <v>83</v>
      </c>
      <c r="AT177" s="97" t="s">
        <v>78</v>
      </c>
      <c r="AU177" s="97" t="s">
        <v>47</v>
      </c>
      <c r="AY177" s="10" t="s">
        <v>75</v>
      </c>
      <c r="BE177" s="98">
        <f>IF(N177="základní",J177,0)</f>
        <v>16.32</v>
      </c>
      <c r="BF177" s="98">
        <f>IF(N177="snížená",J177,0)</f>
        <v>0</v>
      </c>
      <c r="BG177" s="98">
        <f>IF(N177="zákl. přenesená",J177,0)</f>
        <v>0</v>
      </c>
      <c r="BH177" s="98">
        <f>IF(N177="sníž. přenesená",J177,0)</f>
        <v>0</v>
      </c>
      <c r="BI177" s="98">
        <f>IF(N177="nulová",J177,0)</f>
        <v>0</v>
      </c>
      <c r="BJ177" s="10" t="s">
        <v>46</v>
      </c>
      <c r="BK177" s="98">
        <f>ROUND(I177*H177,2)</f>
        <v>16.32</v>
      </c>
      <c r="BL177" s="10" t="s">
        <v>83</v>
      </c>
      <c r="BM177" s="97" t="s">
        <v>244</v>
      </c>
    </row>
    <row r="178" spans="1:65" s="1" customFormat="1" ht="48.75" x14ac:dyDescent="0.2">
      <c r="A178" s="156"/>
      <c r="B178" s="16"/>
      <c r="C178" s="156"/>
      <c r="D178" s="99" t="s">
        <v>84</v>
      </c>
      <c r="E178" s="156"/>
      <c r="F178" s="100" t="s">
        <v>115</v>
      </c>
      <c r="G178" s="156"/>
      <c r="H178" s="156"/>
      <c r="I178" s="101"/>
      <c r="J178" s="156"/>
      <c r="K178" s="156"/>
      <c r="L178" s="16"/>
      <c r="M178" s="102"/>
      <c r="N178" s="103"/>
      <c r="O178" s="27"/>
      <c r="P178" s="27"/>
      <c r="Q178" s="27"/>
      <c r="R178" s="27"/>
      <c r="S178" s="27"/>
      <c r="T178" s="28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T178" s="10" t="s">
        <v>84</v>
      </c>
      <c r="AU178" s="10" t="s">
        <v>47</v>
      </c>
    </row>
    <row r="179" spans="1:65" s="7" customFormat="1" x14ac:dyDescent="0.2">
      <c r="B179" s="112"/>
      <c r="D179" s="99" t="s">
        <v>87</v>
      </c>
      <c r="F179" s="114" t="s">
        <v>456</v>
      </c>
      <c r="H179" s="115">
        <f>0.954*5</f>
        <v>4.7699999999999996</v>
      </c>
      <c r="I179" s="116"/>
      <c r="L179" s="112"/>
      <c r="M179" s="117"/>
      <c r="N179" s="118"/>
      <c r="O179" s="118"/>
      <c r="P179" s="118"/>
      <c r="Q179" s="118"/>
      <c r="R179" s="118"/>
      <c r="S179" s="118"/>
      <c r="T179" s="119"/>
      <c r="AT179" s="113" t="s">
        <v>87</v>
      </c>
      <c r="AU179" s="113" t="s">
        <v>47</v>
      </c>
      <c r="AV179" s="7" t="s">
        <v>47</v>
      </c>
      <c r="AW179" s="7" t="s">
        <v>1</v>
      </c>
      <c r="AX179" s="7" t="s">
        <v>46</v>
      </c>
      <c r="AY179" s="113" t="s">
        <v>75</v>
      </c>
    </row>
    <row r="180" spans="1:65" s="1" customFormat="1" ht="24.2" customHeight="1" x14ac:dyDescent="0.2">
      <c r="A180" s="156"/>
      <c r="B180" s="85"/>
      <c r="C180" s="86" t="s">
        <v>93</v>
      </c>
      <c r="D180" s="86" t="s">
        <v>78</v>
      </c>
      <c r="E180" s="87" t="s">
        <v>245</v>
      </c>
      <c r="F180" s="88" t="s">
        <v>246</v>
      </c>
      <c r="G180" s="89" t="s">
        <v>81</v>
      </c>
      <c r="H180" s="90">
        <v>0.95399999999999996</v>
      </c>
      <c r="I180" s="91">
        <v>43.080493951075745</v>
      </c>
      <c r="J180" s="92">
        <f>ROUND(I180*H180,2)</f>
        <v>41.1</v>
      </c>
      <c r="K180" s="88" t="s">
        <v>82</v>
      </c>
      <c r="L180" s="16"/>
      <c r="M180" s="93" t="s">
        <v>0</v>
      </c>
      <c r="N180" s="94" t="s">
        <v>27</v>
      </c>
      <c r="O180" s="27"/>
      <c r="P180" s="95">
        <f>O180*H180</f>
        <v>0</v>
      </c>
      <c r="Q180" s="95">
        <v>0</v>
      </c>
      <c r="R180" s="95">
        <f>Q180*H180</f>
        <v>0</v>
      </c>
      <c r="S180" s="95">
        <v>0</v>
      </c>
      <c r="T180" s="96">
        <f>S180*H180</f>
        <v>0</v>
      </c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R180" s="97" t="s">
        <v>83</v>
      </c>
      <c r="AT180" s="97" t="s">
        <v>78</v>
      </c>
      <c r="AU180" s="97" t="s">
        <v>47</v>
      </c>
      <c r="AY180" s="10" t="s">
        <v>75</v>
      </c>
      <c r="BE180" s="98">
        <f>IF(N180="základní",J180,0)</f>
        <v>41.1</v>
      </c>
      <c r="BF180" s="98">
        <f>IF(N180="snížená",J180,0)</f>
        <v>0</v>
      </c>
      <c r="BG180" s="98">
        <f>IF(N180="zákl. přenesená",J180,0)</f>
        <v>0</v>
      </c>
      <c r="BH180" s="98">
        <f>IF(N180="sníž. přenesená",J180,0)</f>
        <v>0</v>
      </c>
      <c r="BI180" s="98">
        <f>IF(N180="nulová",J180,0)</f>
        <v>0</v>
      </c>
      <c r="BJ180" s="10" t="s">
        <v>46</v>
      </c>
      <c r="BK180" s="98">
        <f>ROUND(I180*H180,2)</f>
        <v>41.1</v>
      </c>
      <c r="BL180" s="10" t="s">
        <v>83</v>
      </c>
      <c r="BM180" s="97" t="s">
        <v>247</v>
      </c>
    </row>
    <row r="181" spans="1:65" s="1" customFormat="1" ht="29.25" x14ac:dyDescent="0.2">
      <c r="A181" s="156"/>
      <c r="B181" s="16"/>
      <c r="C181" s="156"/>
      <c r="D181" s="99" t="s">
        <v>84</v>
      </c>
      <c r="E181" s="156"/>
      <c r="F181" s="100" t="s">
        <v>248</v>
      </c>
      <c r="G181" s="156"/>
      <c r="H181" s="156"/>
      <c r="I181" s="101"/>
      <c r="J181" s="156"/>
      <c r="K181" s="156"/>
      <c r="L181" s="16"/>
      <c r="M181" s="102"/>
      <c r="N181" s="103"/>
      <c r="O181" s="27"/>
      <c r="P181" s="27"/>
      <c r="Q181" s="27"/>
      <c r="R181" s="27"/>
      <c r="S181" s="27"/>
      <c r="T181" s="28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T181" s="10" t="s">
        <v>84</v>
      </c>
      <c r="AU181" s="10" t="s">
        <v>47</v>
      </c>
    </row>
    <row r="182" spans="1:65" s="1" customFormat="1" ht="24.2" customHeight="1" x14ac:dyDescent="0.2">
      <c r="A182" s="156"/>
      <c r="B182" s="85"/>
      <c r="C182" s="86" t="s">
        <v>4</v>
      </c>
      <c r="D182" s="86" t="s">
        <v>78</v>
      </c>
      <c r="E182" s="87" t="s">
        <v>154</v>
      </c>
      <c r="F182" s="88" t="s">
        <v>155</v>
      </c>
      <c r="G182" s="89" t="s">
        <v>100</v>
      </c>
      <c r="H182" s="90">
        <v>5.47</v>
      </c>
      <c r="I182" s="91">
        <v>6.3644601414457247</v>
      </c>
      <c r="J182" s="92">
        <f>ROUND(I182*H182,2)</f>
        <v>34.81</v>
      </c>
      <c r="K182" s="88" t="s">
        <v>82</v>
      </c>
      <c r="L182" s="16"/>
      <c r="M182" s="93" t="s">
        <v>0</v>
      </c>
      <c r="N182" s="94" t="s">
        <v>27</v>
      </c>
      <c r="O182" s="27"/>
      <c r="P182" s="95">
        <f>O182*H182</f>
        <v>0</v>
      </c>
      <c r="Q182" s="95">
        <v>0</v>
      </c>
      <c r="R182" s="95">
        <f>Q182*H182</f>
        <v>0</v>
      </c>
      <c r="S182" s="95">
        <v>0</v>
      </c>
      <c r="T182" s="96">
        <f>S182*H182</f>
        <v>0</v>
      </c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R182" s="97" t="s">
        <v>83</v>
      </c>
      <c r="AT182" s="97" t="s">
        <v>78</v>
      </c>
      <c r="AU182" s="97" t="s">
        <v>47</v>
      </c>
      <c r="AY182" s="10" t="s">
        <v>75</v>
      </c>
      <c r="BE182" s="98">
        <f>IF(N182="základní",J182,0)</f>
        <v>34.81</v>
      </c>
      <c r="BF182" s="98">
        <f>IF(N182="snížená",J182,0)</f>
        <v>0</v>
      </c>
      <c r="BG182" s="98">
        <f>IF(N182="zákl. přenesená",J182,0)</f>
        <v>0</v>
      </c>
      <c r="BH182" s="98">
        <f>IF(N182="sníž. přenesená",J182,0)</f>
        <v>0</v>
      </c>
      <c r="BI182" s="98">
        <f>IF(N182="nulová",J182,0)</f>
        <v>0</v>
      </c>
      <c r="BJ182" s="10" t="s">
        <v>46</v>
      </c>
      <c r="BK182" s="98">
        <f>ROUND(I182*H182,2)</f>
        <v>34.81</v>
      </c>
      <c r="BL182" s="10" t="s">
        <v>83</v>
      </c>
      <c r="BM182" s="97" t="s">
        <v>249</v>
      </c>
    </row>
    <row r="183" spans="1:65" s="1" customFormat="1" ht="19.5" x14ac:dyDescent="0.2">
      <c r="A183" s="156"/>
      <c r="B183" s="16"/>
      <c r="C183" s="156"/>
      <c r="D183" s="99" t="s">
        <v>84</v>
      </c>
      <c r="E183" s="156"/>
      <c r="F183" s="100" t="s">
        <v>156</v>
      </c>
      <c r="G183" s="156"/>
      <c r="H183" s="156"/>
      <c r="I183" s="101"/>
      <c r="J183" s="156"/>
      <c r="K183" s="156"/>
      <c r="L183" s="16"/>
      <c r="M183" s="102"/>
      <c r="N183" s="103"/>
      <c r="O183" s="27"/>
      <c r="P183" s="27"/>
      <c r="Q183" s="27"/>
      <c r="R183" s="27"/>
      <c r="S183" s="27"/>
      <c r="T183" s="28"/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T183" s="10" t="s">
        <v>84</v>
      </c>
      <c r="AU183" s="10" t="s">
        <v>47</v>
      </c>
    </row>
    <row r="184" spans="1:65" s="1" customFormat="1" ht="19.5" x14ac:dyDescent="0.2">
      <c r="A184" s="156"/>
      <c r="B184" s="16"/>
      <c r="C184" s="156"/>
      <c r="D184" s="99" t="s">
        <v>86</v>
      </c>
      <c r="E184" s="156"/>
      <c r="F184" s="104" t="s">
        <v>102</v>
      </c>
      <c r="G184" s="156"/>
      <c r="H184" s="156"/>
      <c r="I184" s="101"/>
      <c r="J184" s="156"/>
      <c r="K184" s="156"/>
      <c r="L184" s="16"/>
      <c r="M184" s="102"/>
      <c r="N184" s="103"/>
      <c r="O184" s="27"/>
      <c r="P184" s="27"/>
      <c r="Q184" s="27"/>
      <c r="R184" s="27"/>
      <c r="S184" s="27"/>
      <c r="T184" s="28"/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T184" s="10" t="s">
        <v>86</v>
      </c>
      <c r="AU184" s="10" t="s">
        <v>47</v>
      </c>
    </row>
    <row r="185" spans="1:65" s="7" customFormat="1" x14ac:dyDescent="0.2">
      <c r="B185" s="112"/>
      <c r="D185" s="99" t="s">
        <v>87</v>
      </c>
      <c r="E185" s="113" t="s">
        <v>0</v>
      </c>
      <c r="F185" s="114" t="s">
        <v>457</v>
      </c>
      <c r="H185" s="115">
        <v>5.47</v>
      </c>
      <c r="I185" s="116"/>
      <c r="L185" s="112"/>
      <c r="M185" s="117"/>
      <c r="N185" s="118"/>
      <c r="O185" s="118"/>
      <c r="P185" s="118"/>
      <c r="Q185" s="118"/>
      <c r="R185" s="118"/>
      <c r="S185" s="118"/>
      <c r="T185" s="119"/>
      <c r="AT185" s="113" t="s">
        <v>87</v>
      </c>
      <c r="AU185" s="113" t="s">
        <v>47</v>
      </c>
      <c r="AV185" s="7" t="s">
        <v>47</v>
      </c>
      <c r="AW185" s="7" t="s">
        <v>19</v>
      </c>
      <c r="AX185" s="7" t="s">
        <v>46</v>
      </c>
      <c r="AY185" s="113" t="s">
        <v>75</v>
      </c>
    </row>
    <row r="186" spans="1:65" s="1" customFormat="1" ht="24.2" customHeight="1" x14ac:dyDescent="0.2">
      <c r="A186" s="156"/>
      <c r="B186" s="85"/>
      <c r="C186" s="86" t="s">
        <v>104</v>
      </c>
      <c r="D186" s="86" t="s">
        <v>78</v>
      </c>
      <c r="E186" s="87" t="s">
        <v>117</v>
      </c>
      <c r="F186" s="88" t="s">
        <v>118</v>
      </c>
      <c r="G186" s="89" t="s">
        <v>119</v>
      </c>
      <c r="H186" s="90">
        <v>15.448</v>
      </c>
      <c r="I186" s="91">
        <v>110.6455721</v>
      </c>
      <c r="J186" s="92">
        <f>ROUND(I186*H186,2)</f>
        <v>1709.25</v>
      </c>
      <c r="K186" s="88" t="s">
        <v>82</v>
      </c>
      <c r="L186" s="16"/>
      <c r="M186" s="93" t="s">
        <v>0</v>
      </c>
      <c r="N186" s="94" t="s">
        <v>27</v>
      </c>
      <c r="O186" s="27"/>
      <c r="P186" s="95">
        <f>O186*H186</f>
        <v>0</v>
      </c>
      <c r="Q186" s="95">
        <v>0</v>
      </c>
      <c r="R186" s="95">
        <f>Q186*H186</f>
        <v>0</v>
      </c>
      <c r="S186" s="95">
        <v>0</v>
      </c>
      <c r="T186" s="96">
        <f>S186*H186</f>
        <v>0</v>
      </c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R186" s="97" t="s">
        <v>83</v>
      </c>
      <c r="AT186" s="97" t="s">
        <v>78</v>
      </c>
      <c r="AU186" s="97" t="s">
        <v>47</v>
      </c>
      <c r="AY186" s="10" t="s">
        <v>75</v>
      </c>
      <c r="BE186" s="98">
        <f>IF(N186="základní",J186,0)</f>
        <v>1709.25</v>
      </c>
      <c r="BF186" s="98">
        <f>IF(N186="snížená",J186,0)</f>
        <v>0</v>
      </c>
      <c r="BG186" s="98">
        <f>IF(N186="zákl. přenesená",J186,0)</f>
        <v>0</v>
      </c>
      <c r="BH186" s="98">
        <f>IF(N186="sníž. přenesená",J186,0)</f>
        <v>0</v>
      </c>
      <c r="BI186" s="98">
        <f>IF(N186="nulová",J186,0)</f>
        <v>0</v>
      </c>
      <c r="BJ186" s="10" t="s">
        <v>46</v>
      </c>
      <c r="BK186" s="98">
        <f>ROUND(I186*H186,2)</f>
        <v>1709.25</v>
      </c>
      <c r="BL186" s="10" t="s">
        <v>83</v>
      </c>
      <c r="BM186" s="97" t="s">
        <v>251</v>
      </c>
    </row>
    <row r="187" spans="1:65" s="1" customFormat="1" ht="29.25" x14ac:dyDescent="0.2">
      <c r="A187" s="156"/>
      <c r="B187" s="16"/>
      <c r="C187" s="156"/>
      <c r="D187" s="99" t="s">
        <v>84</v>
      </c>
      <c r="E187" s="156"/>
      <c r="F187" s="100" t="s">
        <v>120</v>
      </c>
      <c r="G187" s="156"/>
      <c r="H187" s="156"/>
      <c r="I187" s="101"/>
      <c r="J187" s="156"/>
      <c r="K187" s="156"/>
      <c r="L187" s="16"/>
      <c r="M187" s="102"/>
      <c r="N187" s="103"/>
      <c r="O187" s="27"/>
      <c r="P187" s="27"/>
      <c r="Q187" s="27"/>
      <c r="R187" s="27"/>
      <c r="S187" s="27"/>
      <c r="T187" s="28"/>
      <c r="U187" s="156"/>
      <c r="V187" s="156"/>
      <c r="W187" s="156"/>
      <c r="X187" s="156"/>
      <c r="Y187" s="156"/>
      <c r="Z187" s="156"/>
      <c r="AA187" s="156"/>
      <c r="AB187" s="156"/>
      <c r="AC187" s="156"/>
      <c r="AD187" s="156"/>
      <c r="AE187" s="156"/>
      <c r="AT187" s="10" t="s">
        <v>84</v>
      </c>
      <c r="AU187" s="10" t="s">
        <v>47</v>
      </c>
    </row>
    <row r="188" spans="1:65" s="6" customFormat="1" x14ac:dyDescent="0.2">
      <c r="B188" s="105"/>
      <c r="D188" s="99" t="s">
        <v>87</v>
      </c>
      <c r="E188" s="106" t="s">
        <v>0</v>
      </c>
      <c r="F188" s="107" t="s">
        <v>252</v>
      </c>
      <c r="H188" s="106" t="s">
        <v>0</v>
      </c>
      <c r="I188" s="108"/>
      <c r="L188" s="105"/>
      <c r="M188" s="109"/>
      <c r="N188" s="110"/>
      <c r="O188" s="110"/>
      <c r="P188" s="110"/>
      <c r="Q188" s="110"/>
      <c r="R188" s="110"/>
      <c r="S188" s="110"/>
      <c r="T188" s="111"/>
      <c r="AT188" s="106" t="s">
        <v>87</v>
      </c>
      <c r="AU188" s="106" t="s">
        <v>47</v>
      </c>
      <c r="AV188" s="6" t="s">
        <v>46</v>
      </c>
      <c r="AW188" s="6" t="s">
        <v>19</v>
      </c>
      <c r="AX188" s="6" t="s">
        <v>45</v>
      </c>
      <c r="AY188" s="106" t="s">
        <v>75</v>
      </c>
    </row>
    <row r="189" spans="1:65" s="7" customFormat="1" x14ac:dyDescent="0.2">
      <c r="B189" s="112"/>
      <c r="D189" s="99" t="s">
        <v>87</v>
      </c>
      <c r="E189" s="113" t="s">
        <v>0</v>
      </c>
      <c r="F189" s="114"/>
      <c r="H189" s="115">
        <v>9.5359999999999996</v>
      </c>
      <c r="I189" s="116"/>
      <c r="L189" s="112"/>
      <c r="M189" s="117"/>
      <c r="N189" s="118"/>
      <c r="O189" s="118"/>
      <c r="P189" s="118"/>
      <c r="Q189" s="118"/>
      <c r="R189" s="118"/>
      <c r="S189" s="118"/>
      <c r="T189" s="119"/>
      <c r="AT189" s="113" t="s">
        <v>87</v>
      </c>
      <c r="AU189" s="113" t="s">
        <v>47</v>
      </c>
      <c r="AV189" s="7" t="s">
        <v>47</v>
      </c>
      <c r="AW189" s="7" t="s">
        <v>19</v>
      </c>
      <c r="AX189" s="7" t="s">
        <v>45</v>
      </c>
      <c r="AY189" s="113" t="s">
        <v>75</v>
      </c>
    </row>
    <row r="190" spans="1:65" s="6" customFormat="1" x14ac:dyDescent="0.2">
      <c r="B190" s="105"/>
      <c r="D190" s="99" t="s">
        <v>87</v>
      </c>
      <c r="E190" s="106" t="s">
        <v>0</v>
      </c>
      <c r="F190" s="107" t="s">
        <v>253</v>
      </c>
      <c r="H190" s="106" t="s">
        <v>0</v>
      </c>
      <c r="I190" s="108"/>
      <c r="L190" s="105"/>
      <c r="M190" s="109"/>
      <c r="N190" s="110"/>
      <c r="O190" s="110"/>
      <c r="P190" s="110"/>
      <c r="Q190" s="110"/>
      <c r="R190" s="110"/>
      <c r="S190" s="110"/>
      <c r="T190" s="111"/>
      <c r="AT190" s="106" t="s">
        <v>87</v>
      </c>
      <c r="AU190" s="106" t="s">
        <v>47</v>
      </c>
      <c r="AV190" s="6" t="s">
        <v>46</v>
      </c>
      <c r="AW190" s="6" t="s">
        <v>19</v>
      </c>
      <c r="AX190" s="6" t="s">
        <v>45</v>
      </c>
      <c r="AY190" s="106" t="s">
        <v>75</v>
      </c>
    </row>
    <row r="191" spans="1:65" s="7" customFormat="1" x14ac:dyDescent="0.2">
      <c r="B191" s="112"/>
      <c r="D191" s="99" t="s">
        <v>87</v>
      </c>
      <c r="E191" s="113" t="s">
        <v>0</v>
      </c>
      <c r="F191" s="114"/>
      <c r="H191" s="115">
        <v>-0.95399999999999996</v>
      </c>
      <c r="I191" s="116"/>
      <c r="L191" s="112"/>
      <c r="M191" s="117"/>
      <c r="N191" s="118"/>
      <c r="O191" s="118"/>
      <c r="P191" s="118"/>
      <c r="Q191" s="118"/>
      <c r="R191" s="118"/>
      <c r="S191" s="118"/>
      <c r="T191" s="119"/>
      <c r="AT191" s="113" t="s">
        <v>87</v>
      </c>
      <c r="AU191" s="113" t="s">
        <v>47</v>
      </c>
      <c r="AV191" s="7" t="s">
        <v>47</v>
      </c>
      <c r="AW191" s="7" t="s">
        <v>19</v>
      </c>
      <c r="AX191" s="7" t="s">
        <v>45</v>
      </c>
      <c r="AY191" s="113" t="s">
        <v>75</v>
      </c>
    </row>
    <row r="192" spans="1:65" s="9" customFormat="1" x14ac:dyDescent="0.2">
      <c r="B192" s="128"/>
      <c r="D192" s="99" t="s">
        <v>87</v>
      </c>
      <c r="E192" s="129" t="s">
        <v>0</v>
      </c>
      <c r="F192" s="130" t="s">
        <v>103</v>
      </c>
      <c r="H192" s="131">
        <f>H189+H191</f>
        <v>8.581999999999999</v>
      </c>
      <c r="I192" s="132"/>
      <c r="L192" s="128"/>
      <c r="M192" s="133"/>
      <c r="N192" s="134"/>
      <c r="O192" s="134"/>
      <c r="P192" s="134"/>
      <c r="Q192" s="134"/>
      <c r="R192" s="134"/>
      <c r="S192" s="134"/>
      <c r="T192" s="135"/>
      <c r="AT192" s="129" t="s">
        <v>87</v>
      </c>
      <c r="AU192" s="129" t="s">
        <v>47</v>
      </c>
      <c r="AV192" s="9" t="s">
        <v>83</v>
      </c>
      <c r="AW192" s="9" t="s">
        <v>19</v>
      </c>
      <c r="AX192" s="9" t="s">
        <v>46</v>
      </c>
      <c r="AY192" s="129" t="s">
        <v>75</v>
      </c>
    </row>
    <row r="193" spans="1:65" s="7" customFormat="1" x14ac:dyDescent="0.2">
      <c r="B193" s="112"/>
      <c r="D193" s="99" t="s">
        <v>87</v>
      </c>
      <c r="F193" s="114" t="s">
        <v>458</v>
      </c>
      <c r="H193" s="115">
        <f>H192*1.8</f>
        <v>15.447599999999998</v>
      </c>
      <c r="I193" s="116"/>
      <c r="L193" s="112"/>
      <c r="M193" s="117"/>
      <c r="N193" s="118"/>
      <c r="O193" s="118"/>
      <c r="P193" s="118"/>
      <c r="Q193" s="118"/>
      <c r="R193" s="118"/>
      <c r="S193" s="118"/>
      <c r="T193" s="119"/>
      <c r="AT193" s="113" t="s">
        <v>87</v>
      </c>
      <c r="AU193" s="113" t="s">
        <v>47</v>
      </c>
      <c r="AV193" s="7" t="s">
        <v>47</v>
      </c>
      <c r="AW193" s="7" t="s">
        <v>1</v>
      </c>
      <c r="AX193" s="7" t="s">
        <v>46</v>
      </c>
      <c r="AY193" s="113" t="s">
        <v>75</v>
      </c>
    </row>
    <row r="194" spans="1:65" s="1" customFormat="1" ht="24.2" customHeight="1" x14ac:dyDescent="0.2">
      <c r="A194" s="156"/>
      <c r="B194" s="85"/>
      <c r="C194" s="86" t="s">
        <v>108</v>
      </c>
      <c r="D194" s="86" t="s">
        <v>78</v>
      </c>
      <c r="E194" s="87" t="s">
        <v>121</v>
      </c>
      <c r="F194" s="88" t="s">
        <v>122</v>
      </c>
      <c r="G194" s="89" t="s">
        <v>81</v>
      </c>
      <c r="H194" s="90">
        <v>8.1059999999999999</v>
      </c>
      <c r="I194" s="91">
        <v>140.64048227116101</v>
      </c>
      <c r="J194" s="92">
        <f>ROUND(I194*H194,2)</f>
        <v>1140.03</v>
      </c>
      <c r="K194" s="88" t="s">
        <v>82</v>
      </c>
      <c r="L194" s="16"/>
      <c r="M194" s="93" t="s">
        <v>0</v>
      </c>
      <c r="N194" s="94" t="s">
        <v>27</v>
      </c>
      <c r="O194" s="27"/>
      <c r="P194" s="95">
        <f>O194*H194</f>
        <v>0</v>
      </c>
      <c r="Q194" s="95">
        <v>0</v>
      </c>
      <c r="R194" s="95">
        <f>Q194*H194</f>
        <v>0</v>
      </c>
      <c r="S194" s="95">
        <v>0</v>
      </c>
      <c r="T194" s="96">
        <f>S194*H194</f>
        <v>0</v>
      </c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R194" s="97" t="s">
        <v>83</v>
      </c>
      <c r="AT194" s="97" t="s">
        <v>78</v>
      </c>
      <c r="AU194" s="97" t="s">
        <v>47</v>
      </c>
      <c r="AY194" s="10" t="s">
        <v>75</v>
      </c>
      <c r="BE194" s="98">
        <f>IF(N194="základní",J194,0)</f>
        <v>1140.03</v>
      </c>
      <c r="BF194" s="98">
        <f>IF(N194="snížená",J194,0)</f>
        <v>0</v>
      </c>
      <c r="BG194" s="98">
        <f>IF(N194="zákl. přenesená",J194,0)</f>
        <v>0</v>
      </c>
      <c r="BH194" s="98">
        <f>IF(N194="sníž. přenesená",J194,0)</f>
        <v>0</v>
      </c>
      <c r="BI194" s="98">
        <f>IF(N194="nulová",J194,0)</f>
        <v>0</v>
      </c>
      <c r="BJ194" s="10" t="s">
        <v>46</v>
      </c>
      <c r="BK194" s="98">
        <f>ROUND(I194*H194,2)</f>
        <v>1140.03</v>
      </c>
      <c r="BL194" s="10" t="s">
        <v>83</v>
      </c>
      <c r="BM194" s="97" t="s">
        <v>254</v>
      </c>
    </row>
    <row r="195" spans="1:65" s="1" customFormat="1" ht="29.25" x14ac:dyDescent="0.2">
      <c r="A195" s="156"/>
      <c r="B195" s="16"/>
      <c r="C195" s="156"/>
      <c r="D195" s="99" t="s">
        <v>84</v>
      </c>
      <c r="E195" s="156"/>
      <c r="F195" s="100" t="s">
        <v>123</v>
      </c>
      <c r="G195" s="156"/>
      <c r="H195" s="156"/>
      <c r="I195" s="101"/>
      <c r="J195" s="156"/>
      <c r="K195" s="156"/>
      <c r="L195" s="16"/>
      <c r="M195" s="102"/>
      <c r="N195" s="103"/>
      <c r="O195" s="27"/>
      <c r="P195" s="27"/>
      <c r="Q195" s="27"/>
      <c r="R195" s="27"/>
      <c r="S195" s="27"/>
      <c r="T195" s="28"/>
      <c r="U195" s="156"/>
      <c r="V195" s="156"/>
      <c r="W195" s="156"/>
      <c r="X195" s="156"/>
      <c r="Y195" s="156"/>
      <c r="Z195" s="156"/>
      <c r="AA195" s="156"/>
      <c r="AB195" s="156"/>
      <c r="AC195" s="156"/>
      <c r="AD195" s="156"/>
      <c r="AE195" s="156"/>
      <c r="AT195" s="10" t="s">
        <v>84</v>
      </c>
      <c r="AU195" s="10" t="s">
        <v>47</v>
      </c>
    </row>
    <row r="196" spans="1:65" s="6" customFormat="1" x14ac:dyDescent="0.2">
      <c r="B196" s="105"/>
      <c r="D196" s="99" t="s">
        <v>87</v>
      </c>
      <c r="E196" s="106" t="s">
        <v>0</v>
      </c>
      <c r="F196" s="107" t="s">
        <v>124</v>
      </c>
      <c r="H196" s="106" t="s">
        <v>0</v>
      </c>
      <c r="I196" s="108"/>
      <c r="L196" s="105"/>
      <c r="M196" s="109"/>
      <c r="N196" s="110"/>
      <c r="O196" s="110"/>
      <c r="P196" s="110"/>
      <c r="Q196" s="110"/>
      <c r="R196" s="110"/>
      <c r="S196" s="110"/>
      <c r="T196" s="111"/>
      <c r="AT196" s="106" t="s">
        <v>87</v>
      </c>
      <c r="AU196" s="106" t="s">
        <v>47</v>
      </c>
      <c r="AV196" s="6" t="s">
        <v>46</v>
      </c>
      <c r="AW196" s="6" t="s">
        <v>19</v>
      </c>
      <c r="AX196" s="6" t="s">
        <v>45</v>
      </c>
      <c r="AY196" s="106" t="s">
        <v>75</v>
      </c>
    </row>
    <row r="197" spans="1:65" s="7" customFormat="1" x14ac:dyDescent="0.2">
      <c r="B197" s="112"/>
      <c r="D197" s="99" t="s">
        <v>87</v>
      </c>
      <c r="E197" s="113" t="s">
        <v>0</v>
      </c>
      <c r="F197" s="114" t="s">
        <v>459</v>
      </c>
      <c r="H197" s="115">
        <f>4.768+4.768</f>
        <v>9.5359999999999996</v>
      </c>
      <c r="I197" s="116"/>
      <c r="L197" s="112"/>
      <c r="M197" s="117"/>
      <c r="N197" s="118"/>
      <c r="O197" s="118"/>
      <c r="P197" s="118"/>
      <c r="Q197" s="118"/>
      <c r="R197" s="118"/>
      <c r="S197" s="118"/>
      <c r="T197" s="119"/>
      <c r="AT197" s="113" t="s">
        <v>87</v>
      </c>
      <c r="AU197" s="113" t="s">
        <v>47</v>
      </c>
      <c r="AV197" s="7" t="s">
        <v>47</v>
      </c>
      <c r="AW197" s="7" t="s">
        <v>19</v>
      </c>
      <c r="AX197" s="7" t="s">
        <v>45</v>
      </c>
      <c r="AY197" s="113" t="s">
        <v>75</v>
      </c>
    </row>
    <row r="198" spans="1:65" s="6" customFormat="1" x14ac:dyDescent="0.2">
      <c r="B198" s="105"/>
      <c r="D198" s="99" t="s">
        <v>87</v>
      </c>
      <c r="E198" s="106" t="s">
        <v>0</v>
      </c>
      <c r="F198" s="107" t="s">
        <v>157</v>
      </c>
      <c r="H198" s="106" t="s">
        <v>0</v>
      </c>
      <c r="I198" s="108"/>
      <c r="L198" s="105"/>
      <c r="M198" s="109"/>
      <c r="N198" s="110"/>
      <c r="O198" s="110"/>
      <c r="P198" s="110"/>
      <c r="Q198" s="110"/>
      <c r="R198" s="110"/>
      <c r="S198" s="110"/>
      <c r="T198" s="111"/>
      <c r="AT198" s="106" t="s">
        <v>87</v>
      </c>
      <c r="AU198" s="106" t="s">
        <v>47</v>
      </c>
      <c r="AV198" s="6" t="s">
        <v>46</v>
      </c>
      <c r="AW198" s="6" t="s">
        <v>19</v>
      </c>
      <c r="AX198" s="6" t="s">
        <v>45</v>
      </c>
      <c r="AY198" s="106" t="s">
        <v>75</v>
      </c>
    </row>
    <row r="199" spans="1:65" s="7" customFormat="1" x14ac:dyDescent="0.2">
      <c r="B199" s="112"/>
      <c r="D199" s="99" t="s">
        <v>87</v>
      </c>
      <c r="E199" s="113" t="s">
        <v>0</v>
      </c>
      <c r="F199" s="114">
        <v>-2.4620000000000002</v>
      </c>
      <c r="H199" s="115">
        <v>-2.4620000000000002</v>
      </c>
      <c r="I199" s="116"/>
      <c r="L199" s="112"/>
      <c r="M199" s="117"/>
      <c r="N199" s="118"/>
      <c r="O199" s="118"/>
      <c r="P199" s="118"/>
      <c r="Q199" s="118"/>
      <c r="R199" s="118"/>
      <c r="S199" s="118"/>
      <c r="T199" s="119"/>
      <c r="AT199" s="113" t="s">
        <v>87</v>
      </c>
      <c r="AU199" s="113" t="s">
        <v>47</v>
      </c>
      <c r="AV199" s="7" t="s">
        <v>47</v>
      </c>
      <c r="AW199" s="7" t="s">
        <v>19</v>
      </c>
      <c r="AX199" s="7" t="s">
        <v>45</v>
      </c>
      <c r="AY199" s="113" t="s">
        <v>75</v>
      </c>
    </row>
    <row r="200" spans="1:65" s="6" customFormat="1" x14ac:dyDescent="0.2">
      <c r="B200" s="105"/>
      <c r="D200" s="99" t="s">
        <v>87</v>
      </c>
      <c r="E200" s="106" t="s">
        <v>0</v>
      </c>
      <c r="F200" s="107" t="s">
        <v>158</v>
      </c>
      <c r="H200" s="106" t="s">
        <v>0</v>
      </c>
      <c r="I200" s="108"/>
      <c r="L200" s="105"/>
      <c r="M200" s="109"/>
      <c r="N200" s="110"/>
      <c r="O200" s="110"/>
      <c r="P200" s="110"/>
      <c r="Q200" s="110"/>
      <c r="R200" s="110"/>
      <c r="S200" s="110"/>
      <c r="T200" s="111"/>
      <c r="AT200" s="106" t="s">
        <v>87</v>
      </c>
      <c r="AU200" s="106" t="s">
        <v>47</v>
      </c>
      <c r="AV200" s="6" t="s">
        <v>46</v>
      </c>
      <c r="AW200" s="6" t="s">
        <v>19</v>
      </c>
      <c r="AX200" s="6" t="s">
        <v>45</v>
      </c>
      <c r="AY200" s="106" t="s">
        <v>75</v>
      </c>
    </row>
    <row r="201" spans="1:65" s="7" customFormat="1" x14ac:dyDescent="0.2">
      <c r="B201" s="112"/>
      <c r="D201" s="99" t="s">
        <v>87</v>
      </c>
      <c r="E201" s="113" t="s">
        <v>0</v>
      </c>
      <c r="F201" s="114">
        <v>-0.3</v>
      </c>
      <c r="H201" s="115">
        <v>-0.54700000000000004</v>
      </c>
      <c r="I201" s="116"/>
      <c r="L201" s="112"/>
      <c r="M201" s="117"/>
      <c r="N201" s="118"/>
      <c r="O201" s="118"/>
      <c r="P201" s="118"/>
      <c r="Q201" s="118"/>
      <c r="R201" s="118"/>
      <c r="S201" s="118"/>
      <c r="T201" s="119"/>
      <c r="AT201" s="113" t="s">
        <v>87</v>
      </c>
      <c r="AU201" s="113" t="s">
        <v>47</v>
      </c>
      <c r="AV201" s="7" t="s">
        <v>47</v>
      </c>
      <c r="AW201" s="7" t="s">
        <v>19</v>
      </c>
      <c r="AX201" s="7" t="s">
        <v>45</v>
      </c>
      <c r="AY201" s="113" t="s">
        <v>75</v>
      </c>
    </row>
    <row r="202" spans="1:65" s="6" customFormat="1" x14ac:dyDescent="0.2">
      <c r="B202" s="105"/>
      <c r="D202" s="99" t="s">
        <v>87</v>
      </c>
      <c r="E202" s="106" t="s">
        <v>0</v>
      </c>
      <c r="F202" s="107" t="s">
        <v>159</v>
      </c>
      <c r="H202" s="106" t="s">
        <v>0</v>
      </c>
      <c r="I202" s="108"/>
      <c r="L202" s="105"/>
      <c r="M202" s="109"/>
      <c r="N202" s="110"/>
      <c r="O202" s="110"/>
      <c r="P202" s="110"/>
      <c r="Q202" s="110"/>
      <c r="R202" s="110"/>
      <c r="S202" s="110"/>
      <c r="T202" s="111"/>
      <c r="AT202" s="106" t="s">
        <v>87</v>
      </c>
      <c r="AU202" s="106" t="s">
        <v>47</v>
      </c>
      <c r="AV202" s="6" t="s">
        <v>46</v>
      </c>
      <c r="AW202" s="6" t="s">
        <v>19</v>
      </c>
      <c r="AX202" s="6" t="s">
        <v>45</v>
      </c>
      <c r="AY202" s="106" t="s">
        <v>75</v>
      </c>
    </row>
    <row r="203" spans="1:65" s="7" customFormat="1" x14ac:dyDescent="0.2">
      <c r="B203" s="112"/>
      <c r="D203" s="99" t="s">
        <v>87</v>
      </c>
      <c r="E203" s="113" t="s">
        <v>0</v>
      </c>
      <c r="F203" s="114" t="s">
        <v>462</v>
      </c>
      <c r="H203" s="115">
        <f>-3.14*0.21*0.21*2.2*2</f>
        <v>-0.60928559999999998</v>
      </c>
      <c r="I203" s="116"/>
      <c r="L203" s="112"/>
      <c r="M203" s="117"/>
      <c r="N203" s="118"/>
      <c r="O203" s="118"/>
      <c r="P203" s="118"/>
      <c r="Q203" s="118"/>
      <c r="R203" s="118"/>
      <c r="S203" s="118"/>
      <c r="T203" s="119"/>
      <c r="AT203" s="113" t="s">
        <v>87</v>
      </c>
      <c r="AU203" s="113" t="s">
        <v>47</v>
      </c>
      <c r="AV203" s="7" t="s">
        <v>47</v>
      </c>
      <c r="AW203" s="7" t="s">
        <v>19</v>
      </c>
      <c r="AX203" s="7" t="s">
        <v>45</v>
      </c>
      <c r="AY203" s="113" t="s">
        <v>75</v>
      </c>
    </row>
    <row r="204" spans="1:65" s="6" customFormat="1" x14ac:dyDescent="0.2">
      <c r="B204" s="105"/>
      <c r="D204" s="99" t="s">
        <v>87</v>
      </c>
      <c r="E204" s="106" t="s">
        <v>0</v>
      </c>
      <c r="F204" s="107" t="s">
        <v>160</v>
      </c>
      <c r="H204" s="106" t="s">
        <v>0</v>
      </c>
      <c r="I204" s="108"/>
      <c r="L204" s="105"/>
      <c r="M204" s="109"/>
      <c r="N204" s="110"/>
      <c r="O204" s="110"/>
      <c r="P204" s="110"/>
      <c r="Q204" s="110"/>
      <c r="R204" s="110"/>
      <c r="S204" s="110"/>
      <c r="T204" s="111"/>
      <c r="AT204" s="106" t="s">
        <v>87</v>
      </c>
      <c r="AU204" s="106" t="s">
        <v>47</v>
      </c>
      <c r="AV204" s="6" t="s">
        <v>46</v>
      </c>
      <c r="AW204" s="6" t="s">
        <v>19</v>
      </c>
      <c r="AX204" s="6" t="s">
        <v>45</v>
      </c>
      <c r="AY204" s="106" t="s">
        <v>75</v>
      </c>
    </row>
    <row r="205" spans="1:65" s="7" customFormat="1" x14ac:dyDescent="0.2">
      <c r="B205" s="112"/>
      <c r="D205" s="99" t="s">
        <v>87</v>
      </c>
      <c r="E205" s="113" t="s">
        <v>0</v>
      </c>
      <c r="F205" s="114" t="s">
        <v>463</v>
      </c>
      <c r="H205" s="115">
        <f>5.47*(0.45-0.05)</f>
        <v>2.1880000000000002</v>
      </c>
      <c r="I205" s="116"/>
      <c r="L205" s="112"/>
      <c r="M205" s="117"/>
      <c r="N205" s="118"/>
      <c r="O205" s="118"/>
      <c r="P205" s="118"/>
      <c r="Q205" s="118"/>
      <c r="R205" s="118"/>
      <c r="S205" s="118"/>
      <c r="T205" s="119"/>
      <c r="AT205" s="113" t="s">
        <v>87</v>
      </c>
      <c r="AU205" s="113" t="s">
        <v>47</v>
      </c>
      <c r="AV205" s="7" t="s">
        <v>47</v>
      </c>
      <c r="AW205" s="7" t="s">
        <v>19</v>
      </c>
      <c r="AX205" s="7" t="s">
        <v>45</v>
      </c>
      <c r="AY205" s="113" t="s">
        <v>75</v>
      </c>
    </row>
    <row r="206" spans="1:65" s="9" customFormat="1" x14ac:dyDescent="0.2">
      <c r="B206" s="128"/>
      <c r="D206" s="99" t="s">
        <v>87</v>
      </c>
      <c r="E206" s="129" t="s">
        <v>0</v>
      </c>
      <c r="F206" s="130" t="s">
        <v>103</v>
      </c>
      <c r="H206" s="131">
        <f>H197+H199+H201+H203+H205</f>
        <v>8.1057144000000001</v>
      </c>
      <c r="I206" s="132"/>
      <c r="L206" s="128"/>
      <c r="M206" s="133"/>
      <c r="N206" s="134"/>
      <c r="O206" s="134"/>
      <c r="P206" s="134"/>
      <c r="Q206" s="134"/>
      <c r="R206" s="134"/>
      <c r="S206" s="134"/>
      <c r="T206" s="135"/>
      <c r="AT206" s="129" t="s">
        <v>87</v>
      </c>
      <c r="AU206" s="129" t="s">
        <v>47</v>
      </c>
      <c r="AV206" s="9" t="s">
        <v>83</v>
      </c>
      <c r="AW206" s="9" t="s">
        <v>19</v>
      </c>
      <c r="AX206" s="9" t="s">
        <v>46</v>
      </c>
      <c r="AY206" s="129" t="s">
        <v>75</v>
      </c>
    </row>
    <row r="207" spans="1:65" s="1" customFormat="1" ht="14.45" customHeight="1" x14ac:dyDescent="0.2">
      <c r="A207" s="156"/>
      <c r="B207" s="85"/>
      <c r="C207" s="136" t="s">
        <v>112</v>
      </c>
      <c r="D207" s="136" t="s">
        <v>126</v>
      </c>
      <c r="E207" s="137" t="s">
        <v>127</v>
      </c>
      <c r="F207" s="138" t="s">
        <v>128</v>
      </c>
      <c r="G207" s="139" t="s">
        <v>119</v>
      </c>
      <c r="H207" s="140">
        <v>16.212</v>
      </c>
      <c r="I207" s="141">
        <v>390.0974172</v>
      </c>
      <c r="J207" s="142">
        <f>ROUND(I207*H207,2)</f>
        <v>6324.26</v>
      </c>
      <c r="K207" s="138" t="s">
        <v>82</v>
      </c>
      <c r="L207" s="143"/>
      <c r="M207" s="144" t="s">
        <v>0</v>
      </c>
      <c r="N207" s="145" t="s">
        <v>27</v>
      </c>
      <c r="O207" s="27"/>
      <c r="P207" s="95">
        <f>O207*H207</f>
        <v>0</v>
      </c>
      <c r="Q207" s="95">
        <v>1</v>
      </c>
      <c r="R207" s="95">
        <f>Q207*H207</f>
        <v>16.212</v>
      </c>
      <c r="S207" s="95">
        <v>0</v>
      </c>
      <c r="T207" s="96">
        <f>S207*H207</f>
        <v>0</v>
      </c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R207" s="97" t="s">
        <v>129</v>
      </c>
      <c r="AT207" s="97" t="s">
        <v>126</v>
      </c>
      <c r="AU207" s="97" t="s">
        <v>47</v>
      </c>
      <c r="AY207" s="10" t="s">
        <v>75</v>
      </c>
      <c r="BE207" s="98">
        <f>IF(N207="základní",J207,0)</f>
        <v>6324.26</v>
      </c>
      <c r="BF207" s="98">
        <f>IF(N207="snížená",J207,0)</f>
        <v>0</v>
      </c>
      <c r="BG207" s="98">
        <f>IF(N207="zákl. přenesená",J207,0)</f>
        <v>0</v>
      </c>
      <c r="BH207" s="98">
        <f>IF(N207="sníž. přenesená",J207,0)</f>
        <v>0</v>
      </c>
      <c r="BI207" s="98">
        <f>IF(N207="nulová",J207,0)</f>
        <v>0</v>
      </c>
      <c r="BJ207" s="10" t="s">
        <v>46</v>
      </c>
      <c r="BK207" s="98">
        <f>ROUND(I207*H207,2)</f>
        <v>6324.26</v>
      </c>
      <c r="BL207" s="10" t="s">
        <v>83</v>
      </c>
      <c r="BM207" s="97" t="s">
        <v>256</v>
      </c>
    </row>
    <row r="208" spans="1:65" s="1" customFormat="1" x14ac:dyDescent="0.2">
      <c r="A208" s="156"/>
      <c r="B208" s="16"/>
      <c r="C208" s="156"/>
      <c r="D208" s="99" t="s">
        <v>84</v>
      </c>
      <c r="E208" s="156"/>
      <c r="F208" s="100" t="s">
        <v>128</v>
      </c>
      <c r="G208" s="156"/>
      <c r="H208" s="156"/>
      <c r="I208" s="101"/>
      <c r="J208" s="156"/>
      <c r="K208" s="156"/>
      <c r="L208" s="16"/>
      <c r="M208" s="102"/>
      <c r="N208" s="103"/>
      <c r="O208" s="27"/>
      <c r="P208" s="27"/>
      <c r="Q208" s="27"/>
      <c r="R208" s="27"/>
      <c r="S208" s="27"/>
      <c r="T208" s="28"/>
      <c r="U208" s="156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T208" s="10" t="s">
        <v>84</v>
      </c>
      <c r="AU208" s="10" t="s">
        <v>47</v>
      </c>
    </row>
    <row r="209" spans="1:65" s="1" customFormat="1" ht="19.5" x14ac:dyDescent="0.2">
      <c r="A209" s="156"/>
      <c r="B209" s="16"/>
      <c r="C209" s="156"/>
      <c r="D209" s="99" t="s">
        <v>86</v>
      </c>
      <c r="E209" s="156"/>
      <c r="F209" s="104" t="s">
        <v>130</v>
      </c>
      <c r="G209" s="156"/>
      <c r="H209" s="156"/>
      <c r="I209" s="101"/>
      <c r="J209" s="156"/>
      <c r="K209" s="156"/>
      <c r="L209" s="16"/>
      <c r="M209" s="102"/>
      <c r="N209" s="103"/>
      <c r="O209" s="27"/>
      <c r="P209" s="27"/>
      <c r="Q209" s="27"/>
      <c r="R209" s="27"/>
      <c r="S209" s="27"/>
      <c r="T209" s="28"/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T209" s="10" t="s">
        <v>86</v>
      </c>
      <c r="AU209" s="10" t="s">
        <v>47</v>
      </c>
    </row>
    <row r="210" spans="1:65" s="7" customFormat="1" x14ac:dyDescent="0.2">
      <c r="B210" s="112"/>
      <c r="D210" s="99" t="s">
        <v>87</v>
      </c>
      <c r="F210" s="114" t="s">
        <v>464</v>
      </c>
      <c r="H210" s="115">
        <f>H194*2</f>
        <v>16.212</v>
      </c>
      <c r="I210" s="116"/>
      <c r="L210" s="112"/>
      <c r="M210" s="117"/>
      <c r="N210" s="118"/>
      <c r="O210" s="118"/>
      <c r="P210" s="118"/>
      <c r="Q210" s="118"/>
      <c r="R210" s="118"/>
      <c r="S210" s="118"/>
      <c r="T210" s="119"/>
      <c r="AT210" s="113" t="s">
        <v>87</v>
      </c>
      <c r="AU210" s="113" t="s">
        <v>47</v>
      </c>
      <c r="AV210" s="7" t="s">
        <v>47</v>
      </c>
      <c r="AW210" s="7" t="s">
        <v>1</v>
      </c>
      <c r="AX210" s="7" t="s">
        <v>46</v>
      </c>
      <c r="AY210" s="113" t="s">
        <v>75</v>
      </c>
    </row>
    <row r="211" spans="1:65" s="1" customFormat="1" ht="24.2" customHeight="1" x14ac:dyDescent="0.2">
      <c r="A211" s="156"/>
      <c r="B211" s="85"/>
      <c r="C211" s="86" t="s">
        <v>139</v>
      </c>
      <c r="D211" s="86" t="s">
        <v>78</v>
      </c>
      <c r="E211" s="87" t="s">
        <v>162</v>
      </c>
      <c r="F211" s="88" t="s">
        <v>163</v>
      </c>
      <c r="G211" s="89" t="s">
        <v>81</v>
      </c>
      <c r="H211" s="90">
        <v>2.4620000000000002</v>
      </c>
      <c r="I211" s="91">
        <v>510.38291484661499</v>
      </c>
      <c r="J211" s="92">
        <f>ROUND(I211*H211,2)</f>
        <v>1256.56</v>
      </c>
      <c r="K211" s="88" t="s">
        <v>82</v>
      </c>
      <c r="L211" s="16"/>
      <c r="M211" s="93" t="s">
        <v>0</v>
      </c>
      <c r="N211" s="94" t="s">
        <v>27</v>
      </c>
      <c r="O211" s="27"/>
      <c r="P211" s="95">
        <f>O211*H211</f>
        <v>0</v>
      </c>
      <c r="Q211" s="95">
        <v>0</v>
      </c>
      <c r="R211" s="95">
        <f>Q211*H211</f>
        <v>0</v>
      </c>
      <c r="S211" s="95">
        <v>0</v>
      </c>
      <c r="T211" s="96">
        <f>S211*H211</f>
        <v>0</v>
      </c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R211" s="97" t="s">
        <v>83</v>
      </c>
      <c r="AT211" s="97" t="s">
        <v>78</v>
      </c>
      <c r="AU211" s="97" t="s">
        <v>47</v>
      </c>
      <c r="AY211" s="10" t="s">
        <v>75</v>
      </c>
      <c r="BE211" s="98">
        <f>IF(N211="základní",J211,0)</f>
        <v>1256.56</v>
      </c>
      <c r="BF211" s="98">
        <f>IF(N211="snížená",J211,0)</f>
        <v>0</v>
      </c>
      <c r="BG211" s="98">
        <f>IF(N211="zákl. přenesená",J211,0)</f>
        <v>0</v>
      </c>
      <c r="BH211" s="98">
        <f>IF(N211="sníž. přenesená",J211,0)</f>
        <v>0</v>
      </c>
      <c r="BI211" s="98">
        <f>IF(N211="nulová",J211,0)</f>
        <v>0</v>
      </c>
      <c r="BJ211" s="10" t="s">
        <v>46</v>
      </c>
      <c r="BK211" s="98">
        <f>ROUND(I211*H211,2)</f>
        <v>1256.56</v>
      </c>
      <c r="BL211" s="10" t="s">
        <v>83</v>
      </c>
      <c r="BM211" s="97" t="s">
        <v>257</v>
      </c>
    </row>
    <row r="212" spans="1:65" s="1" customFormat="1" ht="39" x14ac:dyDescent="0.2">
      <c r="A212" s="156"/>
      <c r="B212" s="16"/>
      <c r="C212" s="156"/>
      <c r="D212" s="99" t="s">
        <v>84</v>
      </c>
      <c r="E212" s="156"/>
      <c r="F212" s="100" t="s">
        <v>164</v>
      </c>
      <c r="G212" s="156"/>
      <c r="H212" s="156"/>
      <c r="I212" s="101"/>
      <c r="J212" s="156"/>
      <c r="K212" s="156"/>
      <c r="L212" s="16"/>
      <c r="M212" s="102"/>
      <c r="N212" s="103"/>
      <c r="O212" s="27"/>
      <c r="P212" s="27"/>
      <c r="Q212" s="27"/>
      <c r="R212" s="27"/>
      <c r="S212" s="27"/>
      <c r="T212" s="28"/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T212" s="10" t="s">
        <v>84</v>
      </c>
      <c r="AU212" s="10" t="s">
        <v>47</v>
      </c>
    </row>
    <row r="213" spans="1:65" s="1" customFormat="1" ht="29.25" x14ac:dyDescent="0.2">
      <c r="A213" s="156"/>
      <c r="B213" s="16"/>
      <c r="C213" s="156"/>
      <c r="D213" s="99" t="s">
        <v>86</v>
      </c>
      <c r="E213" s="156"/>
      <c r="F213" s="104" t="s">
        <v>217</v>
      </c>
      <c r="G213" s="156"/>
      <c r="H213" s="156"/>
      <c r="I213" s="101"/>
      <c r="J213" s="156"/>
      <c r="K213" s="156"/>
      <c r="L213" s="16"/>
      <c r="M213" s="102"/>
      <c r="N213" s="103"/>
      <c r="O213" s="27"/>
      <c r="P213" s="27"/>
      <c r="Q213" s="27"/>
      <c r="R213" s="27"/>
      <c r="S213" s="27"/>
      <c r="T213" s="28"/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T213" s="10" t="s">
        <v>86</v>
      </c>
      <c r="AU213" s="10" t="s">
        <v>47</v>
      </c>
    </row>
    <row r="214" spans="1:65" s="7" customFormat="1" x14ac:dyDescent="0.2">
      <c r="B214" s="112"/>
      <c r="D214" s="99" t="s">
        <v>87</v>
      </c>
      <c r="E214" s="113" t="s">
        <v>0</v>
      </c>
      <c r="F214" s="114" t="s">
        <v>460</v>
      </c>
      <c r="H214" s="115">
        <f>5.47*0.45</f>
        <v>2.4615</v>
      </c>
      <c r="I214" s="116"/>
      <c r="L214" s="112"/>
      <c r="M214" s="117"/>
      <c r="N214" s="118"/>
      <c r="O214" s="118"/>
      <c r="P214" s="118"/>
      <c r="Q214" s="118"/>
      <c r="R214" s="118"/>
      <c r="S214" s="118"/>
      <c r="T214" s="119"/>
      <c r="AT214" s="113" t="s">
        <v>87</v>
      </c>
      <c r="AU214" s="113" t="s">
        <v>47</v>
      </c>
      <c r="AV214" s="7" t="s">
        <v>47</v>
      </c>
      <c r="AW214" s="7" t="s">
        <v>19</v>
      </c>
      <c r="AX214" s="7" t="s">
        <v>46</v>
      </c>
      <c r="AY214" s="113" t="s">
        <v>75</v>
      </c>
    </row>
    <row r="215" spans="1:65" s="1" customFormat="1" ht="14.45" customHeight="1" x14ac:dyDescent="0.2">
      <c r="A215" s="156"/>
      <c r="B215" s="85"/>
      <c r="C215" s="136" t="s">
        <v>116</v>
      </c>
      <c r="D215" s="136" t="s">
        <v>126</v>
      </c>
      <c r="E215" s="137" t="s">
        <v>144</v>
      </c>
      <c r="F215" s="138" t="s">
        <v>145</v>
      </c>
      <c r="G215" s="139" t="s">
        <v>119</v>
      </c>
      <c r="H215" s="140">
        <v>4.9240000000000004</v>
      </c>
      <c r="I215" s="141">
        <v>380.62816190000001</v>
      </c>
      <c r="J215" s="142">
        <f>ROUND(I215*H215,2)</f>
        <v>1874.21</v>
      </c>
      <c r="K215" s="138" t="s">
        <v>82</v>
      </c>
      <c r="L215" s="143"/>
      <c r="M215" s="144" t="s">
        <v>0</v>
      </c>
      <c r="N215" s="145" t="s">
        <v>27</v>
      </c>
      <c r="O215" s="27"/>
      <c r="P215" s="95">
        <f>O215*H215</f>
        <v>0</v>
      </c>
      <c r="Q215" s="95">
        <v>1</v>
      </c>
      <c r="R215" s="95">
        <f>Q215*H215</f>
        <v>4.9240000000000004</v>
      </c>
      <c r="S215" s="95">
        <v>0</v>
      </c>
      <c r="T215" s="96">
        <f>S215*H215</f>
        <v>0</v>
      </c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R215" s="97" t="s">
        <v>129</v>
      </c>
      <c r="AT215" s="97" t="s">
        <v>126</v>
      </c>
      <c r="AU215" s="97" t="s">
        <v>47</v>
      </c>
      <c r="AY215" s="10" t="s">
        <v>75</v>
      </c>
      <c r="BE215" s="98">
        <f>IF(N215="základní",J215,0)</f>
        <v>1874.21</v>
      </c>
      <c r="BF215" s="98">
        <f>IF(N215="snížená",J215,0)</f>
        <v>0</v>
      </c>
      <c r="BG215" s="98">
        <f>IF(N215="zákl. přenesená",J215,0)</f>
        <v>0</v>
      </c>
      <c r="BH215" s="98">
        <f>IF(N215="sníž. přenesená",J215,0)</f>
        <v>0</v>
      </c>
      <c r="BI215" s="98">
        <f>IF(N215="nulová",J215,0)</f>
        <v>0</v>
      </c>
      <c r="BJ215" s="10" t="s">
        <v>46</v>
      </c>
      <c r="BK215" s="98">
        <f>ROUND(I215*H215,2)</f>
        <v>1874.21</v>
      </c>
      <c r="BL215" s="10" t="s">
        <v>83</v>
      </c>
      <c r="BM215" s="97" t="s">
        <v>258</v>
      </c>
    </row>
    <row r="216" spans="1:65" s="1" customFormat="1" x14ac:dyDescent="0.2">
      <c r="A216" s="156"/>
      <c r="B216" s="16"/>
      <c r="C216" s="156"/>
      <c r="D216" s="99" t="s">
        <v>84</v>
      </c>
      <c r="E216" s="156"/>
      <c r="F216" s="100" t="s">
        <v>145</v>
      </c>
      <c r="G216" s="156"/>
      <c r="H216" s="156"/>
      <c r="I216" s="101"/>
      <c r="J216" s="156"/>
      <c r="K216" s="156"/>
      <c r="L216" s="16"/>
      <c r="M216" s="102"/>
      <c r="N216" s="103"/>
      <c r="O216" s="27"/>
      <c r="P216" s="27"/>
      <c r="Q216" s="27"/>
      <c r="R216" s="27"/>
      <c r="S216" s="27"/>
      <c r="T216" s="28"/>
      <c r="U216" s="156"/>
      <c r="V216" s="156"/>
      <c r="W216" s="156"/>
      <c r="X216" s="156"/>
      <c r="Y216" s="156"/>
      <c r="Z216" s="156"/>
      <c r="AA216" s="156"/>
      <c r="AB216" s="156"/>
      <c r="AC216" s="156"/>
      <c r="AD216" s="156"/>
      <c r="AE216" s="156"/>
      <c r="AT216" s="10" t="s">
        <v>84</v>
      </c>
      <c r="AU216" s="10" t="s">
        <v>47</v>
      </c>
    </row>
    <row r="217" spans="1:65" s="7" customFormat="1" x14ac:dyDescent="0.2">
      <c r="B217" s="112"/>
      <c r="D217" s="99" t="s">
        <v>87</v>
      </c>
      <c r="F217" s="114" t="s">
        <v>465</v>
      </c>
      <c r="H217" s="115">
        <f>2.462*2</f>
        <v>4.9240000000000004</v>
      </c>
      <c r="I217" s="116"/>
      <c r="L217" s="112"/>
      <c r="M217" s="117"/>
      <c r="N217" s="118"/>
      <c r="O217" s="118"/>
      <c r="P217" s="118"/>
      <c r="Q217" s="118"/>
      <c r="R217" s="118"/>
      <c r="S217" s="118"/>
      <c r="T217" s="119"/>
      <c r="AT217" s="113" t="s">
        <v>87</v>
      </c>
      <c r="AU217" s="113" t="s">
        <v>47</v>
      </c>
      <c r="AV217" s="7" t="s">
        <v>47</v>
      </c>
      <c r="AW217" s="7" t="s">
        <v>1</v>
      </c>
      <c r="AX217" s="7" t="s">
        <v>46</v>
      </c>
      <c r="AY217" s="113" t="s">
        <v>75</v>
      </c>
    </row>
    <row r="218" spans="1:65" s="1" customFormat="1" ht="24.2" customHeight="1" x14ac:dyDescent="0.2">
      <c r="A218" s="156"/>
      <c r="B218" s="85"/>
      <c r="C218" s="86" t="s">
        <v>3</v>
      </c>
      <c r="D218" s="86" t="s">
        <v>78</v>
      </c>
      <c r="E218" s="87" t="s">
        <v>259</v>
      </c>
      <c r="F218" s="88" t="s">
        <v>260</v>
      </c>
      <c r="G218" s="89" t="s">
        <v>100</v>
      </c>
      <c r="H218" s="90">
        <v>1</v>
      </c>
      <c r="I218" s="91">
        <v>64.410667599999996</v>
      </c>
      <c r="J218" s="92">
        <f>ROUND(I218*H218,2)</f>
        <v>64.41</v>
      </c>
      <c r="K218" s="88" t="s">
        <v>0</v>
      </c>
      <c r="L218" s="16"/>
      <c r="M218" s="93" t="s">
        <v>0</v>
      </c>
      <c r="N218" s="94" t="s">
        <v>27</v>
      </c>
      <c r="O218" s="27"/>
      <c r="P218" s="95">
        <f>O218*H218</f>
        <v>0</v>
      </c>
      <c r="Q218" s="95">
        <v>0</v>
      </c>
      <c r="R218" s="95">
        <f>Q218*H218</f>
        <v>0</v>
      </c>
      <c r="S218" s="95">
        <v>0</v>
      </c>
      <c r="T218" s="96">
        <f>S218*H218</f>
        <v>0</v>
      </c>
      <c r="U218" s="156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R218" s="97" t="s">
        <v>83</v>
      </c>
      <c r="AT218" s="97" t="s">
        <v>78</v>
      </c>
      <c r="AU218" s="97" t="s">
        <v>47</v>
      </c>
      <c r="AY218" s="10" t="s">
        <v>75</v>
      </c>
      <c r="BE218" s="98">
        <f>IF(N218="základní",J218,0)</f>
        <v>64.41</v>
      </c>
      <c r="BF218" s="98">
        <f>IF(N218="snížená",J218,0)</f>
        <v>0</v>
      </c>
      <c r="BG218" s="98">
        <f>IF(N218="zákl. přenesená",J218,0)</f>
        <v>0</v>
      </c>
      <c r="BH218" s="98">
        <f>IF(N218="sníž. přenesená",J218,0)</f>
        <v>0</v>
      </c>
      <c r="BI218" s="98">
        <f>IF(N218="nulová",J218,0)</f>
        <v>0</v>
      </c>
      <c r="BJ218" s="10" t="s">
        <v>46</v>
      </c>
      <c r="BK218" s="98">
        <f>ROUND(I218*H218,2)</f>
        <v>64.41</v>
      </c>
      <c r="BL218" s="10" t="s">
        <v>83</v>
      </c>
      <c r="BM218" s="97" t="s">
        <v>261</v>
      </c>
    </row>
    <row r="219" spans="1:65" s="1" customFormat="1" x14ac:dyDescent="0.2">
      <c r="A219" s="156"/>
      <c r="B219" s="16"/>
      <c r="C219" s="156"/>
      <c r="D219" s="99" t="s">
        <v>84</v>
      </c>
      <c r="E219" s="156"/>
      <c r="F219" s="100" t="s">
        <v>260</v>
      </c>
      <c r="G219" s="156"/>
      <c r="H219" s="156"/>
      <c r="I219" s="101"/>
      <c r="J219" s="156"/>
      <c r="K219" s="156"/>
      <c r="L219" s="16"/>
      <c r="M219" s="102"/>
      <c r="N219" s="103"/>
      <c r="O219" s="27"/>
      <c r="P219" s="27"/>
      <c r="Q219" s="27"/>
      <c r="R219" s="27"/>
      <c r="S219" s="27"/>
      <c r="T219" s="28"/>
      <c r="U219" s="156"/>
      <c r="V219" s="156"/>
      <c r="W219" s="156"/>
      <c r="X219" s="156"/>
      <c r="Y219" s="156"/>
      <c r="Z219" s="156"/>
      <c r="AA219" s="156"/>
      <c r="AB219" s="156"/>
      <c r="AC219" s="156"/>
      <c r="AD219" s="156"/>
      <c r="AE219" s="156"/>
      <c r="AT219" s="10" t="s">
        <v>84</v>
      </c>
      <c r="AU219" s="10" t="s">
        <v>47</v>
      </c>
    </row>
    <row r="220" spans="1:65" s="1" customFormat="1" ht="24.2" customHeight="1" x14ac:dyDescent="0.2">
      <c r="A220" s="156"/>
      <c r="B220" s="85"/>
      <c r="C220" s="86" t="s">
        <v>125</v>
      </c>
      <c r="D220" s="86" t="s">
        <v>78</v>
      </c>
      <c r="E220" s="87" t="s">
        <v>262</v>
      </c>
      <c r="F220" s="88" t="s">
        <v>263</v>
      </c>
      <c r="G220" s="89" t="s">
        <v>100</v>
      </c>
      <c r="H220" s="90">
        <v>1</v>
      </c>
      <c r="I220" s="91">
        <v>48.300657632010001</v>
      </c>
      <c r="J220" s="92">
        <f>ROUND(I220*H220,2)</f>
        <v>48.3</v>
      </c>
      <c r="K220" s="88" t="s">
        <v>82</v>
      </c>
      <c r="L220" s="16"/>
      <c r="M220" s="93" t="s">
        <v>0</v>
      </c>
      <c r="N220" s="94" t="s">
        <v>27</v>
      </c>
      <c r="O220" s="27"/>
      <c r="P220" s="95">
        <f>O220*H220</f>
        <v>0</v>
      </c>
      <c r="Q220" s="95">
        <v>0</v>
      </c>
      <c r="R220" s="95">
        <f>Q220*H220</f>
        <v>0</v>
      </c>
      <c r="S220" s="95">
        <v>0</v>
      </c>
      <c r="T220" s="96">
        <f>S220*H220</f>
        <v>0</v>
      </c>
      <c r="U220" s="156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R220" s="97" t="s">
        <v>83</v>
      </c>
      <c r="AT220" s="97" t="s">
        <v>78</v>
      </c>
      <c r="AU220" s="97" t="s">
        <v>47</v>
      </c>
      <c r="AY220" s="10" t="s">
        <v>75</v>
      </c>
      <c r="BE220" s="98">
        <f>IF(N220="základní",J220,0)</f>
        <v>48.3</v>
      </c>
      <c r="BF220" s="98">
        <f>IF(N220="snížená",J220,0)</f>
        <v>0</v>
      </c>
      <c r="BG220" s="98">
        <f>IF(N220="zákl. přenesená",J220,0)</f>
        <v>0</v>
      </c>
      <c r="BH220" s="98">
        <f>IF(N220="sníž. přenesená",J220,0)</f>
        <v>0</v>
      </c>
      <c r="BI220" s="98">
        <f>IF(N220="nulová",J220,0)</f>
        <v>0</v>
      </c>
      <c r="BJ220" s="10" t="s">
        <v>46</v>
      </c>
      <c r="BK220" s="98">
        <f>ROUND(I220*H220,2)</f>
        <v>48.3</v>
      </c>
      <c r="BL220" s="10" t="s">
        <v>83</v>
      </c>
      <c r="BM220" s="97" t="s">
        <v>264</v>
      </c>
    </row>
    <row r="221" spans="1:65" s="1" customFormat="1" ht="29.25" x14ac:dyDescent="0.2">
      <c r="A221" s="156"/>
      <c r="B221" s="16"/>
      <c r="C221" s="156"/>
      <c r="D221" s="99" t="s">
        <v>84</v>
      </c>
      <c r="E221" s="156"/>
      <c r="F221" s="100" t="s">
        <v>265</v>
      </c>
      <c r="G221" s="156"/>
      <c r="H221" s="156"/>
      <c r="I221" s="101"/>
      <c r="J221" s="156"/>
      <c r="K221" s="156"/>
      <c r="L221" s="16"/>
      <c r="M221" s="102"/>
      <c r="N221" s="103"/>
      <c r="O221" s="27"/>
      <c r="P221" s="27"/>
      <c r="Q221" s="27"/>
      <c r="R221" s="27"/>
      <c r="S221" s="27"/>
      <c r="T221" s="28"/>
      <c r="U221" s="156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T221" s="10" t="s">
        <v>84</v>
      </c>
      <c r="AU221" s="10" t="s">
        <v>47</v>
      </c>
    </row>
    <row r="222" spans="1:65" s="1" customFormat="1" ht="29.25" x14ac:dyDescent="0.2">
      <c r="A222" s="156"/>
      <c r="B222" s="16"/>
      <c r="C222" s="156"/>
      <c r="D222" s="99" t="s">
        <v>86</v>
      </c>
      <c r="E222" s="156"/>
      <c r="F222" s="104" t="s">
        <v>217</v>
      </c>
      <c r="G222" s="156"/>
      <c r="H222" s="156"/>
      <c r="I222" s="101"/>
      <c r="J222" s="156"/>
      <c r="K222" s="156"/>
      <c r="L222" s="16"/>
      <c r="M222" s="102"/>
      <c r="N222" s="103"/>
      <c r="O222" s="27"/>
      <c r="P222" s="27"/>
      <c r="Q222" s="27"/>
      <c r="R222" s="27"/>
      <c r="S222" s="27"/>
      <c r="T222" s="28"/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T222" s="10" t="s">
        <v>86</v>
      </c>
      <c r="AU222" s="10" t="s">
        <v>47</v>
      </c>
    </row>
    <row r="223" spans="1:65" s="1" customFormat="1" ht="24.2" customHeight="1" x14ac:dyDescent="0.2">
      <c r="A223" s="156"/>
      <c r="B223" s="85"/>
      <c r="C223" s="86" t="s">
        <v>141</v>
      </c>
      <c r="D223" s="86" t="s">
        <v>78</v>
      </c>
      <c r="E223" s="87" t="s">
        <v>132</v>
      </c>
      <c r="F223" s="88" t="s">
        <v>133</v>
      </c>
      <c r="G223" s="89" t="s">
        <v>119</v>
      </c>
      <c r="H223" s="90">
        <v>21.135999999999999</v>
      </c>
      <c r="I223" s="91">
        <v>61.737071122597108</v>
      </c>
      <c r="J223" s="92">
        <f>ROUND(I223*H223,2)</f>
        <v>1304.8699999999999</v>
      </c>
      <c r="K223" s="88" t="s">
        <v>82</v>
      </c>
      <c r="L223" s="16"/>
      <c r="M223" s="93" t="s">
        <v>0</v>
      </c>
      <c r="N223" s="94" t="s">
        <v>27</v>
      </c>
      <c r="O223" s="27"/>
      <c r="P223" s="95">
        <f>O223*H223</f>
        <v>0</v>
      </c>
      <c r="Q223" s="95">
        <v>0</v>
      </c>
      <c r="R223" s="95">
        <f>Q223*H223</f>
        <v>0</v>
      </c>
      <c r="S223" s="95">
        <v>0</v>
      </c>
      <c r="T223" s="96">
        <f>S223*H223</f>
        <v>0</v>
      </c>
      <c r="U223" s="156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R223" s="97" t="s">
        <v>83</v>
      </c>
      <c r="AT223" s="97" t="s">
        <v>78</v>
      </c>
      <c r="AU223" s="97" t="s">
        <v>47</v>
      </c>
      <c r="AY223" s="10" t="s">
        <v>75</v>
      </c>
      <c r="BE223" s="98">
        <f>IF(N223="základní",J223,0)</f>
        <v>1304.8699999999999</v>
      </c>
      <c r="BF223" s="98">
        <f>IF(N223="snížená",J223,0)</f>
        <v>0</v>
      </c>
      <c r="BG223" s="98">
        <f>IF(N223="zákl. přenesená",J223,0)</f>
        <v>0</v>
      </c>
      <c r="BH223" s="98">
        <f>IF(N223="sníž. přenesená",J223,0)</f>
        <v>0</v>
      </c>
      <c r="BI223" s="98">
        <f>IF(N223="nulová",J223,0)</f>
        <v>0</v>
      </c>
      <c r="BJ223" s="10" t="s">
        <v>46</v>
      </c>
      <c r="BK223" s="98">
        <f>ROUND(I223*H223,2)</f>
        <v>1304.8699999999999</v>
      </c>
      <c r="BL223" s="10" t="s">
        <v>83</v>
      </c>
      <c r="BM223" s="97" t="s">
        <v>266</v>
      </c>
    </row>
    <row r="224" spans="1:65" s="1" customFormat="1" ht="29.25" x14ac:dyDescent="0.2">
      <c r="A224" s="156"/>
      <c r="B224" s="16"/>
      <c r="C224" s="156"/>
      <c r="D224" s="99" t="s">
        <v>84</v>
      </c>
      <c r="E224" s="156"/>
      <c r="F224" s="100" t="s">
        <v>134</v>
      </c>
      <c r="G224" s="156"/>
      <c r="H224" s="156"/>
      <c r="I224" s="101"/>
      <c r="J224" s="156"/>
      <c r="K224" s="156"/>
      <c r="L224" s="16"/>
      <c r="M224" s="102"/>
      <c r="N224" s="103"/>
      <c r="O224" s="27"/>
      <c r="P224" s="27"/>
      <c r="Q224" s="27"/>
      <c r="R224" s="27"/>
      <c r="S224" s="27"/>
      <c r="T224" s="28"/>
      <c r="U224" s="156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T224" s="10" t="s">
        <v>84</v>
      </c>
      <c r="AU224" s="10" t="s">
        <v>47</v>
      </c>
    </row>
    <row r="225" spans="1:65" s="7" customFormat="1" x14ac:dyDescent="0.2">
      <c r="B225" s="112"/>
      <c r="D225" s="99" t="s">
        <v>87</v>
      </c>
      <c r="E225" s="113" t="s">
        <v>0</v>
      </c>
      <c r="F225" s="114" t="s">
        <v>466</v>
      </c>
      <c r="H225" s="115">
        <f>16.212+4.924</f>
        <v>21.135999999999999</v>
      </c>
      <c r="I225" s="116"/>
      <c r="L225" s="112"/>
      <c r="M225" s="117"/>
      <c r="N225" s="118"/>
      <c r="O225" s="118"/>
      <c r="P225" s="118"/>
      <c r="Q225" s="118"/>
      <c r="R225" s="118"/>
      <c r="S225" s="118"/>
      <c r="T225" s="119"/>
      <c r="AT225" s="113" t="s">
        <v>87</v>
      </c>
      <c r="AU225" s="113" t="s">
        <v>47</v>
      </c>
      <c r="AV225" s="7" t="s">
        <v>47</v>
      </c>
      <c r="AW225" s="7" t="s">
        <v>19</v>
      </c>
      <c r="AX225" s="7" t="s">
        <v>46</v>
      </c>
      <c r="AY225" s="113" t="s">
        <v>75</v>
      </c>
    </row>
    <row r="226" spans="1:65" s="5" customFormat="1" ht="22.9" customHeight="1" x14ac:dyDescent="0.2">
      <c r="B226" s="72"/>
      <c r="D226" s="73" t="s">
        <v>44</v>
      </c>
      <c r="E226" s="83" t="s">
        <v>47</v>
      </c>
      <c r="F226" s="83" t="s">
        <v>267</v>
      </c>
      <c r="I226" s="75"/>
      <c r="J226" s="84">
        <f>BK226</f>
        <v>0</v>
      </c>
      <c r="L226" s="72"/>
      <c r="M226" s="77"/>
      <c r="N226" s="78"/>
      <c r="O226" s="78"/>
      <c r="P226" s="79">
        <f>SUM(P227:P228)</f>
        <v>0</v>
      </c>
      <c r="Q226" s="78"/>
      <c r="R226" s="79">
        <f>SUM(R227:R228)</f>
        <v>0</v>
      </c>
      <c r="S226" s="78"/>
      <c r="T226" s="80">
        <f>SUM(T227:T228)</f>
        <v>0</v>
      </c>
      <c r="AR226" s="73" t="s">
        <v>46</v>
      </c>
      <c r="AT226" s="81" t="s">
        <v>44</v>
      </c>
      <c r="AU226" s="81" t="s">
        <v>46</v>
      </c>
      <c r="AY226" s="73" t="s">
        <v>75</v>
      </c>
      <c r="BK226" s="82">
        <f>SUM(BK227:BK228)</f>
        <v>0</v>
      </c>
    </row>
    <row r="227" spans="1:65" s="1" customFormat="1" ht="37.9" customHeight="1" x14ac:dyDescent="0.2">
      <c r="A227" s="156"/>
      <c r="B227" s="85"/>
      <c r="C227" s="86" t="s">
        <v>161</v>
      </c>
      <c r="D227" s="86" t="s">
        <v>78</v>
      </c>
      <c r="E227" s="87" t="s">
        <v>268</v>
      </c>
      <c r="F227" s="88" t="s">
        <v>269</v>
      </c>
      <c r="G227" s="89" t="s">
        <v>270</v>
      </c>
      <c r="H227" s="90">
        <v>0</v>
      </c>
      <c r="I227" s="91">
        <v>264.06831423630393</v>
      </c>
      <c r="J227" s="92">
        <f>ROUND(I227*H227,2)</f>
        <v>0</v>
      </c>
      <c r="K227" s="88" t="s">
        <v>82</v>
      </c>
      <c r="L227" s="16"/>
      <c r="M227" s="93" t="s">
        <v>0</v>
      </c>
      <c r="N227" s="94" t="s">
        <v>27</v>
      </c>
      <c r="O227" s="27"/>
      <c r="P227" s="95">
        <f>O227*H227</f>
        <v>0</v>
      </c>
      <c r="Q227" s="95">
        <v>0.20469000000000001</v>
      </c>
      <c r="R227" s="95">
        <f>Q227*H227</f>
        <v>0</v>
      </c>
      <c r="S227" s="95">
        <v>0</v>
      </c>
      <c r="T227" s="96">
        <f>S227*H227</f>
        <v>0</v>
      </c>
      <c r="U227" s="156"/>
      <c r="V227" s="156"/>
      <c r="W227" s="156"/>
      <c r="X227" s="156"/>
      <c r="Y227" s="156"/>
      <c r="Z227" s="156"/>
      <c r="AA227" s="156"/>
      <c r="AB227" s="156"/>
      <c r="AC227" s="156"/>
      <c r="AD227" s="156"/>
      <c r="AE227" s="156"/>
      <c r="AR227" s="97" t="s">
        <v>83</v>
      </c>
      <c r="AT227" s="97" t="s">
        <v>78</v>
      </c>
      <c r="AU227" s="97" t="s">
        <v>47</v>
      </c>
      <c r="AY227" s="10" t="s">
        <v>75</v>
      </c>
      <c r="BE227" s="98">
        <f>IF(N227="základní",J227,0)</f>
        <v>0</v>
      </c>
      <c r="BF227" s="98">
        <f>IF(N227="snížená",J227,0)</f>
        <v>0</v>
      </c>
      <c r="BG227" s="98">
        <f>IF(N227="zákl. přenesená",J227,0)</f>
        <v>0</v>
      </c>
      <c r="BH227" s="98">
        <f>IF(N227="sníž. přenesená",J227,0)</f>
        <v>0</v>
      </c>
      <c r="BI227" s="98">
        <f>IF(N227="nulová",J227,0)</f>
        <v>0</v>
      </c>
      <c r="BJ227" s="10" t="s">
        <v>46</v>
      </c>
      <c r="BK227" s="98">
        <f>ROUND(I227*H227,2)</f>
        <v>0</v>
      </c>
      <c r="BL227" s="10" t="s">
        <v>83</v>
      </c>
      <c r="BM227" s="97" t="s">
        <v>271</v>
      </c>
    </row>
    <row r="228" spans="1:65" s="1" customFormat="1" ht="39" x14ac:dyDescent="0.2">
      <c r="A228" s="156"/>
      <c r="B228" s="16"/>
      <c r="C228" s="156"/>
      <c r="D228" s="99" t="s">
        <v>84</v>
      </c>
      <c r="E228" s="156"/>
      <c r="F228" s="100" t="s">
        <v>272</v>
      </c>
      <c r="G228" s="156"/>
      <c r="H228" s="156"/>
      <c r="I228" s="101"/>
      <c r="J228" s="156"/>
      <c r="K228" s="156"/>
      <c r="L228" s="16"/>
      <c r="M228" s="102"/>
      <c r="N228" s="103"/>
      <c r="O228" s="27"/>
      <c r="P228" s="27"/>
      <c r="Q228" s="27"/>
      <c r="R228" s="27"/>
      <c r="S228" s="27"/>
      <c r="T228" s="28"/>
      <c r="U228" s="156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T228" s="10" t="s">
        <v>84</v>
      </c>
      <c r="AU228" s="10" t="s">
        <v>47</v>
      </c>
    </row>
    <row r="229" spans="1:65" s="5" customFormat="1" ht="22.9" customHeight="1" x14ac:dyDescent="0.2">
      <c r="B229" s="72"/>
      <c r="D229" s="73" t="s">
        <v>44</v>
      </c>
      <c r="E229" s="83" t="s">
        <v>83</v>
      </c>
      <c r="F229" s="83" t="s">
        <v>274</v>
      </c>
      <c r="I229" s="75"/>
      <c r="J229" s="84">
        <f>BK229</f>
        <v>1186.03</v>
      </c>
      <c r="L229" s="72"/>
      <c r="M229" s="77"/>
      <c r="N229" s="78"/>
      <c r="O229" s="78"/>
      <c r="P229" s="79">
        <f>SUM(P230:P243)</f>
        <v>0</v>
      </c>
      <c r="Q229" s="78"/>
      <c r="R229" s="79">
        <f>SUM(R230:R243)</f>
        <v>0</v>
      </c>
      <c r="S229" s="78"/>
      <c r="T229" s="80">
        <f>SUM(T230:T243)</f>
        <v>0</v>
      </c>
      <c r="AR229" s="73" t="s">
        <v>46</v>
      </c>
      <c r="AT229" s="81" t="s">
        <v>44</v>
      </c>
      <c r="AU229" s="81" t="s">
        <v>46</v>
      </c>
      <c r="AY229" s="73" t="s">
        <v>75</v>
      </c>
      <c r="BK229" s="82">
        <f>SUM(BK230:BK243)</f>
        <v>1186.03</v>
      </c>
    </row>
    <row r="230" spans="1:65" s="1" customFormat="1" ht="14.45" customHeight="1" x14ac:dyDescent="0.2">
      <c r="A230" s="156"/>
      <c r="B230" s="85"/>
      <c r="C230" s="86" t="s">
        <v>131</v>
      </c>
      <c r="D230" s="86" t="s">
        <v>78</v>
      </c>
      <c r="E230" s="87" t="s">
        <v>166</v>
      </c>
      <c r="F230" s="88" t="s">
        <v>167</v>
      </c>
      <c r="G230" s="89" t="s">
        <v>81</v>
      </c>
      <c r="H230" s="90">
        <v>0.54700000000000004</v>
      </c>
      <c r="I230" s="91">
        <v>1200.17173250368</v>
      </c>
      <c r="J230" s="92">
        <f>ROUND(I230*H230,2)</f>
        <v>656.49</v>
      </c>
      <c r="K230" s="88" t="s">
        <v>82</v>
      </c>
      <c r="L230" s="16"/>
      <c r="M230" s="93" t="s">
        <v>0</v>
      </c>
      <c r="N230" s="94" t="s">
        <v>27</v>
      </c>
      <c r="O230" s="27"/>
      <c r="P230" s="95">
        <f>O230*H230</f>
        <v>0</v>
      </c>
      <c r="Q230" s="95">
        <v>0</v>
      </c>
      <c r="R230" s="95">
        <f>Q230*H230</f>
        <v>0</v>
      </c>
      <c r="S230" s="95">
        <v>0</v>
      </c>
      <c r="T230" s="96">
        <f>S230*H230</f>
        <v>0</v>
      </c>
      <c r="U230" s="156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R230" s="97" t="s">
        <v>83</v>
      </c>
      <c r="AT230" s="97" t="s">
        <v>78</v>
      </c>
      <c r="AU230" s="97" t="s">
        <v>47</v>
      </c>
      <c r="AY230" s="10" t="s">
        <v>75</v>
      </c>
      <c r="BE230" s="98">
        <f>IF(N230="základní",J230,0)</f>
        <v>656.49</v>
      </c>
      <c r="BF230" s="98">
        <f>IF(N230="snížená",J230,0)</f>
        <v>0</v>
      </c>
      <c r="BG230" s="98">
        <f>IF(N230="zákl. přenesená",J230,0)</f>
        <v>0</v>
      </c>
      <c r="BH230" s="98">
        <f>IF(N230="sníž. přenesená",J230,0)</f>
        <v>0</v>
      </c>
      <c r="BI230" s="98">
        <f>IF(N230="nulová",J230,0)</f>
        <v>0</v>
      </c>
      <c r="BJ230" s="10" t="s">
        <v>46</v>
      </c>
      <c r="BK230" s="98">
        <f>ROUND(I230*H230,2)</f>
        <v>656.49</v>
      </c>
      <c r="BL230" s="10" t="s">
        <v>83</v>
      </c>
      <c r="BM230" s="97" t="s">
        <v>275</v>
      </c>
    </row>
    <row r="231" spans="1:65" s="1" customFormat="1" ht="19.5" x14ac:dyDescent="0.2">
      <c r="A231" s="156"/>
      <c r="B231" s="16"/>
      <c r="C231" s="156"/>
      <c r="D231" s="99" t="s">
        <v>84</v>
      </c>
      <c r="E231" s="156"/>
      <c r="F231" s="100" t="s">
        <v>168</v>
      </c>
      <c r="G231" s="156"/>
      <c r="H231" s="156"/>
      <c r="I231" s="101"/>
      <c r="J231" s="156"/>
      <c r="K231" s="156"/>
      <c r="L231" s="16"/>
      <c r="M231" s="102"/>
      <c r="N231" s="103"/>
      <c r="O231" s="27"/>
      <c r="P231" s="27"/>
      <c r="Q231" s="27"/>
      <c r="R231" s="27"/>
      <c r="S231" s="27"/>
      <c r="T231" s="28"/>
      <c r="U231" s="156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T231" s="10" t="s">
        <v>84</v>
      </c>
      <c r="AU231" s="10" t="s">
        <v>47</v>
      </c>
    </row>
    <row r="232" spans="1:65" s="1" customFormat="1" ht="29.25" x14ac:dyDescent="0.2">
      <c r="A232" s="156"/>
      <c r="B232" s="16"/>
      <c r="C232" s="156"/>
      <c r="D232" s="99" t="s">
        <v>86</v>
      </c>
      <c r="E232" s="156"/>
      <c r="F232" s="104" t="s">
        <v>217</v>
      </c>
      <c r="G232" s="156"/>
      <c r="H232" s="156"/>
      <c r="I232" s="101"/>
      <c r="J232" s="156"/>
      <c r="K232" s="156"/>
      <c r="L232" s="16"/>
      <c r="M232" s="102"/>
      <c r="N232" s="103"/>
      <c r="O232" s="27"/>
      <c r="P232" s="27"/>
      <c r="Q232" s="27"/>
      <c r="R232" s="27"/>
      <c r="S232" s="27"/>
      <c r="T232" s="28"/>
      <c r="U232" s="156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T232" s="10" t="s">
        <v>86</v>
      </c>
      <c r="AU232" s="10" t="s">
        <v>47</v>
      </c>
    </row>
    <row r="233" spans="1:65" s="7" customFormat="1" x14ac:dyDescent="0.2">
      <c r="B233" s="112"/>
      <c r="D233" s="99" t="s">
        <v>87</v>
      </c>
      <c r="E233" s="113" t="s">
        <v>0</v>
      </c>
      <c r="F233" s="114" t="s">
        <v>461</v>
      </c>
      <c r="H233" s="115">
        <f>5.47*0.1</f>
        <v>0.54700000000000004</v>
      </c>
      <c r="I233" s="116"/>
      <c r="L233" s="112"/>
      <c r="M233" s="117"/>
      <c r="N233" s="118"/>
      <c r="O233" s="118"/>
      <c r="P233" s="118"/>
      <c r="Q233" s="118"/>
      <c r="R233" s="118"/>
      <c r="S233" s="118"/>
      <c r="T233" s="119"/>
      <c r="AT233" s="113" t="s">
        <v>87</v>
      </c>
      <c r="AU233" s="113" t="s">
        <v>47</v>
      </c>
      <c r="AV233" s="7" t="s">
        <v>47</v>
      </c>
      <c r="AW233" s="7" t="s">
        <v>19</v>
      </c>
      <c r="AX233" s="7" t="s">
        <v>46</v>
      </c>
      <c r="AY233" s="113" t="s">
        <v>75</v>
      </c>
    </row>
    <row r="234" spans="1:65" s="1" customFormat="1" ht="14.45" customHeight="1" x14ac:dyDescent="0.2">
      <c r="A234" s="156"/>
      <c r="B234" s="85"/>
      <c r="C234" s="86" t="s">
        <v>143</v>
      </c>
      <c r="D234" s="86" t="s">
        <v>78</v>
      </c>
      <c r="E234" s="87" t="s">
        <v>276</v>
      </c>
      <c r="F234" s="88" t="s">
        <v>277</v>
      </c>
      <c r="G234" s="89" t="s">
        <v>81</v>
      </c>
      <c r="H234" s="90">
        <v>0.2</v>
      </c>
      <c r="I234" s="91">
        <v>1200.17173250368</v>
      </c>
      <c r="J234" s="92">
        <f>ROUND(I234*H234,2)</f>
        <v>240.03</v>
      </c>
      <c r="K234" s="88" t="s">
        <v>0</v>
      </c>
      <c r="L234" s="16"/>
      <c r="M234" s="93" t="s">
        <v>0</v>
      </c>
      <c r="N234" s="94" t="s">
        <v>27</v>
      </c>
      <c r="O234" s="27"/>
      <c r="P234" s="95">
        <f>O234*H234</f>
        <v>0</v>
      </c>
      <c r="Q234" s="95">
        <v>0</v>
      </c>
      <c r="R234" s="95">
        <f>Q234*H234</f>
        <v>0</v>
      </c>
      <c r="S234" s="95">
        <v>0</v>
      </c>
      <c r="T234" s="96">
        <f>S234*H234</f>
        <v>0</v>
      </c>
      <c r="U234" s="156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R234" s="97" t="s">
        <v>83</v>
      </c>
      <c r="AT234" s="97" t="s">
        <v>78</v>
      </c>
      <c r="AU234" s="97" t="s">
        <v>47</v>
      </c>
      <c r="AY234" s="10" t="s">
        <v>75</v>
      </c>
      <c r="BE234" s="98">
        <f>IF(N234="základní",J234,0)</f>
        <v>240.03</v>
      </c>
      <c r="BF234" s="98">
        <f>IF(N234="snížená",J234,0)</f>
        <v>0</v>
      </c>
      <c r="BG234" s="98">
        <f>IF(N234="zákl. přenesená",J234,0)</f>
        <v>0</v>
      </c>
      <c r="BH234" s="98">
        <f>IF(N234="sníž. přenesená",J234,0)</f>
        <v>0</v>
      </c>
      <c r="BI234" s="98">
        <f>IF(N234="nulová",J234,0)</f>
        <v>0</v>
      </c>
      <c r="BJ234" s="10" t="s">
        <v>46</v>
      </c>
      <c r="BK234" s="98">
        <f>ROUND(I234*H234,2)</f>
        <v>240.03</v>
      </c>
      <c r="BL234" s="10" t="s">
        <v>83</v>
      </c>
      <c r="BM234" s="97" t="s">
        <v>278</v>
      </c>
    </row>
    <row r="235" spans="1:65" s="1" customFormat="1" ht="19.5" x14ac:dyDescent="0.2">
      <c r="A235" s="156"/>
      <c r="B235" s="16"/>
      <c r="C235" s="156"/>
      <c r="D235" s="99" t="s">
        <v>84</v>
      </c>
      <c r="E235" s="156"/>
      <c r="F235" s="100" t="s">
        <v>168</v>
      </c>
      <c r="G235" s="156"/>
      <c r="H235" s="156"/>
      <c r="I235" s="101"/>
      <c r="J235" s="156"/>
      <c r="K235" s="156"/>
      <c r="L235" s="16"/>
      <c r="M235" s="102"/>
      <c r="N235" s="103"/>
      <c r="O235" s="27"/>
      <c r="P235" s="27"/>
      <c r="Q235" s="27"/>
      <c r="R235" s="27"/>
      <c r="S235" s="27"/>
      <c r="T235" s="28"/>
      <c r="U235" s="156"/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/>
      <c r="AT235" s="10" t="s">
        <v>84</v>
      </c>
      <c r="AU235" s="10" t="s">
        <v>47</v>
      </c>
    </row>
    <row r="236" spans="1:65" s="1" customFormat="1" ht="29.25" x14ac:dyDescent="0.2">
      <c r="A236" s="156"/>
      <c r="B236" s="16"/>
      <c r="C236" s="156"/>
      <c r="D236" s="99" t="s">
        <v>86</v>
      </c>
      <c r="E236" s="156"/>
      <c r="F236" s="104" t="s">
        <v>217</v>
      </c>
      <c r="G236" s="156"/>
      <c r="H236" s="156"/>
      <c r="I236" s="101"/>
      <c r="J236" s="156"/>
      <c r="K236" s="156"/>
      <c r="L236" s="16"/>
      <c r="M236" s="102"/>
      <c r="N236" s="103"/>
      <c r="O236" s="27"/>
      <c r="P236" s="27"/>
      <c r="Q236" s="27"/>
      <c r="R236" s="27"/>
      <c r="S236" s="27"/>
      <c r="T236" s="28"/>
      <c r="U236" s="156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T236" s="10" t="s">
        <v>86</v>
      </c>
      <c r="AU236" s="10" t="s">
        <v>47</v>
      </c>
    </row>
    <row r="237" spans="1:65" s="6" customFormat="1" x14ac:dyDescent="0.2">
      <c r="B237" s="105"/>
      <c r="D237" s="99" t="s">
        <v>87</v>
      </c>
      <c r="E237" s="106" t="s">
        <v>0</v>
      </c>
      <c r="F237" s="107" t="s">
        <v>279</v>
      </c>
      <c r="H237" s="106" t="s">
        <v>0</v>
      </c>
      <c r="I237" s="108"/>
      <c r="L237" s="105"/>
      <c r="M237" s="109"/>
      <c r="N237" s="110"/>
      <c r="O237" s="110"/>
      <c r="P237" s="110"/>
      <c r="Q237" s="110"/>
      <c r="R237" s="110"/>
      <c r="S237" s="110"/>
      <c r="T237" s="111"/>
      <c r="AT237" s="106" t="s">
        <v>87</v>
      </c>
      <c r="AU237" s="106" t="s">
        <v>47</v>
      </c>
      <c r="AV237" s="6" t="s">
        <v>46</v>
      </c>
      <c r="AW237" s="6" t="s">
        <v>19</v>
      </c>
      <c r="AX237" s="6" t="s">
        <v>45</v>
      </c>
      <c r="AY237" s="106" t="s">
        <v>75</v>
      </c>
    </row>
    <row r="238" spans="1:65" s="7" customFormat="1" x14ac:dyDescent="0.2">
      <c r="B238" s="112"/>
      <c r="D238" s="99" t="s">
        <v>87</v>
      </c>
      <c r="E238" s="113" t="s">
        <v>0</v>
      </c>
      <c r="F238" s="114" t="s">
        <v>411</v>
      </c>
      <c r="H238" s="115">
        <v>0.2</v>
      </c>
      <c r="I238" s="116"/>
      <c r="L238" s="112"/>
      <c r="M238" s="117"/>
      <c r="N238" s="118"/>
      <c r="O238" s="118"/>
      <c r="P238" s="118"/>
      <c r="Q238" s="118"/>
      <c r="R238" s="118"/>
      <c r="S238" s="118"/>
      <c r="T238" s="119"/>
      <c r="AT238" s="113" t="s">
        <v>87</v>
      </c>
      <c r="AU238" s="113" t="s">
        <v>47</v>
      </c>
      <c r="AV238" s="7" t="s">
        <v>47</v>
      </c>
      <c r="AW238" s="7" t="s">
        <v>19</v>
      </c>
      <c r="AX238" s="7" t="s">
        <v>46</v>
      </c>
      <c r="AY238" s="113" t="s">
        <v>75</v>
      </c>
    </row>
    <row r="239" spans="1:65" s="1" customFormat="1" ht="24.2" customHeight="1" x14ac:dyDescent="0.2">
      <c r="A239" s="156"/>
      <c r="B239" s="85"/>
      <c r="C239" s="86" t="s">
        <v>138</v>
      </c>
      <c r="D239" s="86" t="s">
        <v>78</v>
      </c>
      <c r="E239" s="87" t="s">
        <v>283</v>
      </c>
      <c r="F239" s="88" t="s">
        <v>284</v>
      </c>
      <c r="G239" s="89" t="s">
        <v>81</v>
      </c>
      <c r="H239" s="90">
        <v>0.1</v>
      </c>
      <c r="I239" s="91">
        <v>2895.0660868876225</v>
      </c>
      <c r="J239" s="92">
        <f>ROUND(I239*H239,2)</f>
        <v>289.51</v>
      </c>
      <c r="K239" s="88" t="s">
        <v>82</v>
      </c>
      <c r="L239" s="16"/>
      <c r="M239" s="93" t="s">
        <v>0</v>
      </c>
      <c r="N239" s="94" t="s">
        <v>27</v>
      </c>
      <c r="O239" s="27"/>
      <c r="P239" s="95">
        <f>O239*H239</f>
        <v>0</v>
      </c>
      <c r="Q239" s="95">
        <v>0</v>
      </c>
      <c r="R239" s="95">
        <f>Q239*H239</f>
        <v>0</v>
      </c>
      <c r="S239" s="95">
        <v>0</v>
      </c>
      <c r="T239" s="96">
        <f>S239*H239</f>
        <v>0</v>
      </c>
      <c r="U239" s="156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R239" s="97" t="s">
        <v>83</v>
      </c>
      <c r="AT239" s="97" t="s">
        <v>78</v>
      </c>
      <c r="AU239" s="97" t="s">
        <v>47</v>
      </c>
      <c r="AY239" s="10" t="s">
        <v>75</v>
      </c>
      <c r="BE239" s="98">
        <f>IF(N239="základní",J239,0)</f>
        <v>289.51</v>
      </c>
      <c r="BF239" s="98">
        <f>IF(N239="snížená",J239,0)</f>
        <v>0</v>
      </c>
      <c r="BG239" s="98">
        <f>IF(N239="zákl. přenesená",J239,0)</f>
        <v>0</v>
      </c>
      <c r="BH239" s="98">
        <f>IF(N239="sníž. přenesená",J239,0)</f>
        <v>0</v>
      </c>
      <c r="BI239" s="98">
        <f>IF(N239="nulová",J239,0)</f>
        <v>0</v>
      </c>
      <c r="BJ239" s="10" t="s">
        <v>46</v>
      </c>
      <c r="BK239" s="98">
        <f>ROUND(I239*H239,2)</f>
        <v>289.51</v>
      </c>
      <c r="BL239" s="10" t="s">
        <v>83</v>
      </c>
      <c r="BM239" s="97" t="s">
        <v>285</v>
      </c>
    </row>
    <row r="240" spans="1:65" s="1" customFormat="1" ht="29.25" x14ac:dyDescent="0.2">
      <c r="A240" s="156"/>
      <c r="B240" s="16"/>
      <c r="C240" s="156"/>
      <c r="D240" s="99" t="s">
        <v>84</v>
      </c>
      <c r="E240" s="156"/>
      <c r="F240" s="100" t="s">
        <v>286</v>
      </c>
      <c r="G240" s="156"/>
      <c r="H240" s="156"/>
      <c r="I240" s="101"/>
      <c r="J240" s="156"/>
      <c r="K240" s="156"/>
      <c r="L240" s="16"/>
      <c r="M240" s="102"/>
      <c r="N240" s="103"/>
      <c r="O240" s="27"/>
      <c r="P240" s="27"/>
      <c r="Q240" s="27"/>
      <c r="R240" s="27"/>
      <c r="S240" s="27"/>
      <c r="T240" s="28"/>
      <c r="U240" s="156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T240" s="10" t="s">
        <v>84</v>
      </c>
      <c r="AU240" s="10" t="s">
        <v>47</v>
      </c>
    </row>
    <row r="241" spans="1:65" s="1" customFormat="1" ht="29.25" x14ac:dyDescent="0.2">
      <c r="A241" s="156"/>
      <c r="B241" s="16"/>
      <c r="C241" s="156"/>
      <c r="D241" s="99" t="s">
        <v>86</v>
      </c>
      <c r="E241" s="156"/>
      <c r="F241" s="104" t="s">
        <v>217</v>
      </c>
      <c r="G241" s="156"/>
      <c r="H241" s="156"/>
      <c r="I241" s="101"/>
      <c r="J241" s="156"/>
      <c r="K241" s="156"/>
      <c r="L241" s="16"/>
      <c r="M241" s="102"/>
      <c r="N241" s="103"/>
      <c r="O241" s="27"/>
      <c r="P241" s="27"/>
      <c r="Q241" s="27"/>
      <c r="R241" s="27"/>
      <c r="S241" s="27"/>
      <c r="T241" s="28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T241" s="10" t="s">
        <v>86</v>
      </c>
      <c r="AU241" s="10" t="s">
        <v>47</v>
      </c>
    </row>
    <row r="242" spans="1:65" s="6" customFormat="1" x14ac:dyDescent="0.2">
      <c r="B242" s="105"/>
      <c r="D242" s="99" t="s">
        <v>87</v>
      </c>
      <c r="E242" s="106" t="s">
        <v>0</v>
      </c>
      <c r="F242" s="107" t="s">
        <v>279</v>
      </c>
      <c r="H242" s="106" t="s">
        <v>0</v>
      </c>
      <c r="I242" s="108"/>
      <c r="L242" s="105"/>
      <c r="M242" s="109"/>
      <c r="N242" s="110"/>
      <c r="O242" s="110"/>
      <c r="P242" s="110"/>
      <c r="Q242" s="110"/>
      <c r="R242" s="110"/>
      <c r="S242" s="110"/>
      <c r="T242" s="111"/>
      <c r="AT242" s="106" t="s">
        <v>87</v>
      </c>
      <c r="AU242" s="106" t="s">
        <v>47</v>
      </c>
      <c r="AV242" s="6" t="s">
        <v>46</v>
      </c>
      <c r="AW242" s="6" t="s">
        <v>19</v>
      </c>
      <c r="AX242" s="6" t="s">
        <v>45</v>
      </c>
      <c r="AY242" s="106" t="s">
        <v>75</v>
      </c>
    </row>
    <row r="243" spans="1:65" s="7" customFormat="1" x14ac:dyDescent="0.2">
      <c r="B243" s="112"/>
      <c r="D243" s="99" t="s">
        <v>87</v>
      </c>
      <c r="E243" s="113" t="s">
        <v>0</v>
      </c>
      <c r="F243" s="114" t="s">
        <v>411</v>
      </c>
      <c r="H243" s="115">
        <v>0.2</v>
      </c>
      <c r="I243" s="116"/>
      <c r="L243" s="112"/>
      <c r="M243" s="117"/>
      <c r="N243" s="118"/>
      <c r="O243" s="118"/>
      <c r="P243" s="118"/>
      <c r="Q243" s="118"/>
      <c r="R243" s="118"/>
      <c r="S243" s="118"/>
      <c r="T243" s="119"/>
      <c r="AT243" s="113" t="s">
        <v>87</v>
      </c>
      <c r="AU243" s="113" t="s">
        <v>47</v>
      </c>
      <c r="AV243" s="7" t="s">
        <v>47</v>
      </c>
      <c r="AW243" s="7" t="s">
        <v>19</v>
      </c>
      <c r="AX243" s="7" t="s">
        <v>46</v>
      </c>
      <c r="AY243" s="113" t="s">
        <v>75</v>
      </c>
    </row>
    <row r="244" spans="1:65" s="5" customFormat="1" ht="22.9" customHeight="1" x14ac:dyDescent="0.2">
      <c r="B244" s="72"/>
      <c r="D244" s="73" t="s">
        <v>44</v>
      </c>
      <c r="E244" s="83" t="s">
        <v>223</v>
      </c>
      <c r="F244" s="83" t="s">
        <v>288</v>
      </c>
      <c r="I244" s="75"/>
      <c r="J244" s="84">
        <f>BK244</f>
        <v>3617.05</v>
      </c>
      <c r="L244" s="72"/>
      <c r="M244" s="77"/>
      <c r="N244" s="78"/>
      <c r="O244" s="78"/>
      <c r="P244" s="79">
        <f>SUM(P245:P253)</f>
        <v>0</v>
      </c>
      <c r="Q244" s="78"/>
      <c r="R244" s="79">
        <f>SUM(R245:R253)</f>
        <v>0</v>
      </c>
      <c r="S244" s="78"/>
      <c r="T244" s="80">
        <f>SUM(T245:T253)</f>
        <v>0</v>
      </c>
      <c r="AR244" s="73" t="s">
        <v>46</v>
      </c>
      <c r="AT244" s="81" t="s">
        <v>44</v>
      </c>
      <c r="AU244" s="81" t="s">
        <v>46</v>
      </c>
      <c r="AY244" s="73" t="s">
        <v>75</v>
      </c>
      <c r="BK244" s="82">
        <f>SUM(BK245:BK253)</f>
        <v>3617.05</v>
      </c>
    </row>
    <row r="245" spans="1:65" s="1" customFormat="1" ht="24.2" customHeight="1" x14ac:dyDescent="0.2">
      <c r="A245" s="156"/>
      <c r="B245" s="85"/>
      <c r="C245" s="86" t="s">
        <v>289</v>
      </c>
      <c r="D245" s="86" t="s">
        <v>78</v>
      </c>
      <c r="E245" s="87" t="s">
        <v>170</v>
      </c>
      <c r="F245" s="88" t="s">
        <v>171</v>
      </c>
      <c r="G245" s="89" t="s">
        <v>100</v>
      </c>
      <c r="H245" s="90">
        <v>4.923</v>
      </c>
      <c r="I245" s="91">
        <v>130.95617506780872</v>
      </c>
      <c r="J245" s="92">
        <f>ROUND(I245*H245,2)</f>
        <v>644.70000000000005</v>
      </c>
      <c r="K245" s="88" t="s">
        <v>82</v>
      </c>
      <c r="L245" s="16"/>
      <c r="M245" s="93" t="s">
        <v>0</v>
      </c>
      <c r="N245" s="94" t="s">
        <v>27</v>
      </c>
      <c r="O245" s="27"/>
      <c r="P245" s="95">
        <f>O245*H245</f>
        <v>0</v>
      </c>
      <c r="Q245" s="95">
        <v>0</v>
      </c>
      <c r="R245" s="95">
        <f>Q245*H245</f>
        <v>0</v>
      </c>
      <c r="S245" s="95">
        <v>0</v>
      </c>
      <c r="T245" s="96">
        <f>S245*H245</f>
        <v>0</v>
      </c>
      <c r="U245" s="156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R245" s="97" t="s">
        <v>83</v>
      </c>
      <c r="AT245" s="97" t="s">
        <v>78</v>
      </c>
      <c r="AU245" s="97" t="s">
        <v>47</v>
      </c>
      <c r="AY245" s="10" t="s">
        <v>75</v>
      </c>
      <c r="BE245" s="98">
        <f>IF(N245="základní",J245,0)</f>
        <v>644.70000000000005</v>
      </c>
      <c r="BF245" s="98">
        <f>IF(N245="snížená",J245,0)</f>
        <v>0</v>
      </c>
      <c r="BG245" s="98">
        <f>IF(N245="zákl. přenesená",J245,0)</f>
        <v>0</v>
      </c>
      <c r="BH245" s="98">
        <f>IF(N245="sníž. přenesená",J245,0)</f>
        <v>0</v>
      </c>
      <c r="BI245" s="98">
        <f>IF(N245="nulová",J245,0)</f>
        <v>0</v>
      </c>
      <c r="BJ245" s="10" t="s">
        <v>46</v>
      </c>
      <c r="BK245" s="98">
        <f>ROUND(I245*H245,2)</f>
        <v>644.70000000000005</v>
      </c>
      <c r="BL245" s="10" t="s">
        <v>83</v>
      </c>
      <c r="BM245" s="97" t="s">
        <v>290</v>
      </c>
    </row>
    <row r="246" spans="1:65" s="1" customFormat="1" ht="19.5" x14ac:dyDescent="0.2">
      <c r="A246" s="156"/>
      <c r="B246" s="16"/>
      <c r="C246" s="156"/>
      <c r="D246" s="99" t="s">
        <v>84</v>
      </c>
      <c r="E246" s="156"/>
      <c r="F246" s="100" t="s">
        <v>172</v>
      </c>
      <c r="G246" s="156"/>
      <c r="H246" s="156"/>
      <c r="I246" s="101"/>
      <c r="J246" s="156"/>
      <c r="K246" s="156"/>
      <c r="L246" s="16"/>
      <c r="M246" s="102"/>
      <c r="N246" s="103"/>
      <c r="O246" s="27"/>
      <c r="P246" s="27"/>
      <c r="Q246" s="27"/>
      <c r="R246" s="27"/>
      <c r="S246" s="27"/>
      <c r="T246" s="28"/>
      <c r="U246" s="156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T246" s="10" t="s">
        <v>84</v>
      </c>
      <c r="AU246" s="10" t="s">
        <v>47</v>
      </c>
    </row>
    <row r="247" spans="1:65" s="1" customFormat="1" ht="14.45" customHeight="1" x14ac:dyDescent="0.2">
      <c r="A247" s="156"/>
      <c r="B247" s="85"/>
      <c r="C247" s="86" t="s">
        <v>165</v>
      </c>
      <c r="D247" s="86" t="s">
        <v>78</v>
      </c>
      <c r="E247" s="87" t="s">
        <v>174</v>
      </c>
      <c r="F247" s="88" t="s">
        <v>175</v>
      </c>
      <c r="G247" s="89" t="s">
        <v>100</v>
      </c>
      <c r="H247" s="90">
        <v>4.923</v>
      </c>
      <c r="I247" s="91">
        <v>200.20823792465458</v>
      </c>
      <c r="J247" s="92">
        <f>ROUND(I247*H247,2)</f>
        <v>985.63</v>
      </c>
      <c r="K247" s="88" t="s">
        <v>82</v>
      </c>
      <c r="L247" s="16"/>
      <c r="M247" s="93" t="s">
        <v>0</v>
      </c>
      <c r="N247" s="94" t="s">
        <v>27</v>
      </c>
      <c r="O247" s="27"/>
      <c r="P247" s="95">
        <f>O247*H247</f>
        <v>0</v>
      </c>
      <c r="Q247" s="95">
        <v>0</v>
      </c>
      <c r="R247" s="95">
        <f>Q247*H247</f>
        <v>0</v>
      </c>
      <c r="S247" s="95">
        <v>0</v>
      </c>
      <c r="T247" s="96">
        <f>S247*H247</f>
        <v>0</v>
      </c>
      <c r="U247" s="156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R247" s="97" t="s">
        <v>83</v>
      </c>
      <c r="AT247" s="97" t="s">
        <v>78</v>
      </c>
      <c r="AU247" s="97" t="s">
        <v>47</v>
      </c>
      <c r="AY247" s="10" t="s">
        <v>75</v>
      </c>
      <c r="BE247" s="98">
        <f>IF(N247="základní",J247,0)</f>
        <v>985.63</v>
      </c>
      <c r="BF247" s="98">
        <f>IF(N247="snížená",J247,0)</f>
        <v>0</v>
      </c>
      <c r="BG247" s="98">
        <f>IF(N247="zákl. přenesená",J247,0)</f>
        <v>0</v>
      </c>
      <c r="BH247" s="98">
        <f>IF(N247="sníž. přenesená",J247,0)</f>
        <v>0</v>
      </c>
      <c r="BI247" s="98">
        <f>IF(N247="nulová",J247,0)</f>
        <v>0</v>
      </c>
      <c r="BJ247" s="10" t="s">
        <v>46</v>
      </c>
      <c r="BK247" s="98">
        <f>ROUND(I247*H247,2)</f>
        <v>985.63</v>
      </c>
      <c r="BL247" s="10" t="s">
        <v>83</v>
      </c>
      <c r="BM247" s="97" t="s">
        <v>291</v>
      </c>
    </row>
    <row r="248" spans="1:65" s="1" customFormat="1" ht="19.5" x14ac:dyDescent="0.2">
      <c r="A248" s="156"/>
      <c r="B248" s="16"/>
      <c r="C248" s="156"/>
      <c r="D248" s="99" t="s">
        <v>84</v>
      </c>
      <c r="E248" s="156"/>
      <c r="F248" s="100" t="s">
        <v>176</v>
      </c>
      <c r="G248" s="156"/>
      <c r="H248" s="156"/>
      <c r="I248" s="101"/>
      <c r="J248" s="156"/>
      <c r="K248" s="156"/>
      <c r="L248" s="16"/>
      <c r="M248" s="102"/>
      <c r="N248" s="103"/>
      <c r="O248" s="27"/>
      <c r="P248" s="27"/>
      <c r="Q248" s="27"/>
      <c r="R248" s="27"/>
      <c r="S248" s="27"/>
      <c r="T248" s="28"/>
      <c r="U248" s="156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T248" s="10" t="s">
        <v>84</v>
      </c>
      <c r="AU248" s="10" t="s">
        <v>47</v>
      </c>
    </row>
    <row r="249" spans="1:65" s="1" customFormat="1" ht="24.2" customHeight="1" x14ac:dyDescent="0.2">
      <c r="A249" s="156"/>
      <c r="B249" s="85"/>
      <c r="C249" s="86" t="s">
        <v>292</v>
      </c>
      <c r="D249" s="86" t="s">
        <v>78</v>
      </c>
      <c r="E249" s="87" t="s">
        <v>293</v>
      </c>
      <c r="F249" s="88" t="s">
        <v>294</v>
      </c>
      <c r="G249" s="89" t="s">
        <v>100</v>
      </c>
      <c r="H249" s="90">
        <v>4.923</v>
      </c>
      <c r="I249" s="91">
        <v>40.878739778868102</v>
      </c>
      <c r="J249" s="92">
        <f>ROUND(I249*H249,2)</f>
        <v>201.25</v>
      </c>
      <c r="K249" s="88" t="s">
        <v>82</v>
      </c>
      <c r="L249" s="16"/>
      <c r="M249" s="93" t="s">
        <v>0</v>
      </c>
      <c r="N249" s="94" t="s">
        <v>27</v>
      </c>
      <c r="O249" s="27"/>
      <c r="P249" s="95">
        <f>O249*H249</f>
        <v>0</v>
      </c>
      <c r="Q249" s="95">
        <v>0</v>
      </c>
      <c r="R249" s="95">
        <f>Q249*H249</f>
        <v>0</v>
      </c>
      <c r="S249" s="95">
        <v>0</v>
      </c>
      <c r="T249" s="96">
        <f>S249*H249</f>
        <v>0</v>
      </c>
      <c r="U249" s="156"/>
      <c r="V249" s="156"/>
      <c r="W249" s="156"/>
      <c r="X249" s="156"/>
      <c r="Y249" s="156"/>
      <c r="Z249" s="156"/>
      <c r="AA249" s="156"/>
      <c r="AB249" s="156"/>
      <c r="AC249" s="156"/>
      <c r="AD249" s="156"/>
      <c r="AE249" s="156"/>
      <c r="AR249" s="97" t="s">
        <v>83</v>
      </c>
      <c r="AT249" s="97" t="s">
        <v>78</v>
      </c>
      <c r="AU249" s="97" t="s">
        <v>47</v>
      </c>
      <c r="AY249" s="10" t="s">
        <v>75</v>
      </c>
      <c r="BE249" s="98">
        <f>IF(N249="základní",J249,0)</f>
        <v>201.25</v>
      </c>
      <c r="BF249" s="98">
        <f>IF(N249="snížená",J249,0)</f>
        <v>0</v>
      </c>
      <c r="BG249" s="98">
        <f>IF(N249="zákl. přenesená",J249,0)</f>
        <v>0</v>
      </c>
      <c r="BH249" s="98">
        <f>IF(N249="sníž. přenesená",J249,0)</f>
        <v>0</v>
      </c>
      <c r="BI249" s="98">
        <f>IF(N249="nulová",J249,0)</f>
        <v>0</v>
      </c>
      <c r="BJ249" s="10" t="s">
        <v>46</v>
      </c>
      <c r="BK249" s="98">
        <f>ROUND(I249*H249,2)</f>
        <v>201.25</v>
      </c>
      <c r="BL249" s="10" t="s">
        <v>83</v>
      </c>
      <c r="BM249" s="97" t="s">
        <v>295</v>
      </c>
    </row>
    <row r="250" spans="1:65" s="1" customFormat="1" ht="19.5" x14ac:dyDescent="0.2">
      <c r="A250" s="156"/>
      <c r="B250" s="16"/>
      <c r="C250" s="156"/>
      <c r="D250" s="99" t="s">
        <v>84</v>
      </c>
      <c r="E250" s="156"/>
      <c r="F250" s="100" t="s">
        <v>296</v>
      </c>
      <c r="G250" s="156"/>
      <c r="H250" s="156"/>
      <c r="I250" s="101"/>
      <c r="J250" s="156"/>
      <c r="K250" s="156"/>
      <c r="L250" s="16"/>
      <c r="M250" s="102"/>
      <c r="N250" s="103"/>
      <c r="O250" s="27"/>
      <c r="P250" s="27"/>
      <c r="Q250" s="27"/>
      <c r="R250" s="27"/>
      <c r="S250" s="27"/>
      <c r="T250" s="28"/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T250" s="10" t="s">
        <v>84</v>
      </c>
      <c r="AU250" s="10" t="s">
        <v>47</v>
      </c>
    </row>
    <row r="251" spans="1:65" s="1" customFormat="1" ht="24.2" customHeight="1" x14ac:dyDescent="0.2">
      <c r="A251" s="156"/>
      <c r="B251" s="85"/>
      <c r="C251" s="86" t="s">
        <v>297</v>
      </c>
      <c r="D251" s="86" t="s">
        <v>78</v>
      </c>
      <c r="E251" s="87" t="s">
        <v>178</v>
      </c>
      <c r="F251" s="88" t="s">
        <v>179</v>
      </c>
      <c r="G251" s="89" t="s">
        <v>100</v>
      </c>
      <c r="H251" s="90">
        <v>4.923</v>
      </c>
      <c r="I251" s="91">
        <v>362.67856108310502</v>
      </c>
      <c r="J251" s="92">
        <f>ROUND(I251*H251,2)</f>
        <v>1785.47</v>
      </c>
      <c r="K251" s="88" t="s">
        <v>82</v>
      </c>
      <c r="L251" s="16"/>
      <c r="M251" s="93" t="s">
        <v>0</v>
      </c>
      <c r="N251" s="94" t="s">
        <v>27</v>
      </c>
      <c r="O251" s="27"/>
      <c r="P251" s="95">
        <f>O251*H251</f>
        <v>0</v>
      </c>
      <c r="Q251" s="95">
        <v>0</v>
      </c>
      <c r="R251" s="95">
        <f>Q251*H251</f>
        <v>0</v>
      </c>
      <c r="S251" s="95">
        <v>0</v>
      </c>
      <c r="T251" s="96">
        <f>S251*H251</f>
        <v>0</v>
      </c>
      <c r="U251" s="156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  <c r="AR251" s="97" t="s">
        <v>83</v>
      </c>
      <c r="AT251" s="97" t="s">
        <v>78</v>
      </c>
      <c r="AU251" s="97" t="s">
        <v>47</v>
      </c>
      <c r="AY251" s="10" t="s">
        <v>75</v>
      </c>
      <c r="BE251" s="98">
        <f>IF(N251="základní",J251,0)</f>
        <v>1785.47</v>
      </c>
      <c r="BF251" s="98">
        <f>IF(N251="snížená",J251,0)</f>
        <v>0</v>
      </c>
      <c r="BG251" s="98">
        <f>IF(N251="zákl. přenesená",J251,0)</f>
        <v>0</v>
      </c>
      <c r="BH251" s="98">
        <f>IF(N251="sníž. přenesená",J251,0)</f>
        <v>0</v>
      </c>
      <c r="BI251" s="98">
        <f>IF(N251="nulová",J251,0)</f>
        <v>0</v>
      </c>
      <c r="BJ251" s="10" t="s">
        <v>46</v>
      </c>
      <c r="BK251" s="98">
        <f>ROUND(I251*H251,2)</f>
        <v>1785.47</v>
      </c>
      <c r="BL251" s="10" t="s">
        <v>83</v>
      </c>
      <c r="BM251" s="97" t="s">
        <v>298</v>
      </c>
    </row>
    <row r="252" spans="1:65" s="1" customFormat="1" ht="29.25" x14ac:dyDescent="0.2">
      <c r="A252" s="156"/>
      <c r="B252" s="16"/>
      <c r="C252" s="156"/>
      <c r="D252" s="99" t="s">
        <v>84</v>
      </c>
      <c r="E252" s="156"/>
      <c r="F252" s="100" t="s">
        <v>180</v>
      </c>
      <c r="G252" s="156"/>
      <c r="H252" s="156"/>
      <c r="I252" s="101"/>
      <c r="J252" s="156"/>
      <c r="K252" s="156"/>
      <c r="L252" s="16"/>
      <c r="M252" s="102"/>
      <c r="N252" s="103"/>
      <c r="O252" s="27"/>
      <c r="P252" s="27"/>
      <c r="Q252" s="27"/>
      <c r="R252" s="27"/>
      <c r="S252" s="27"/>
      <c r="T252" s="28"/>
      <c r="U252" s="156"/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/>
      <c r="AT252" s="10" t="s">
        <v>84</v>
      </c>
      <c r="AU252" s="10" t="s">
        <v>47</v>
      </c>
    </row>
    <row r="253" spans="1:65" s="1" customFormat="1" ht="29.25" x14ac:dyDescent="0.2">
      <c r="A253" s="156"/>
      <c r="B253" s="16"/>
      <c r="C253" s="156"/>
      <c r="D253" s="99" t="s">
        <v>86</v>
      </c>
      <c r="E253" s="156"/>
      <c r="F253" s="104" t="s">
        <v>217</v>
      </c>
      <c r="G253" s="156"/>
      <c r="H253" s="156"/>
      <c r="I253" s="101"/>
      <c r="J253" s="156"/>
      <c r="K253" s="156"/>
      <c r="L253" s="16"/>
      <c r="M253" s="102"/>
      <c r="N253" s="103"/>
      <c r="O253" s="27"/>
      <c r="P253" s="27"/>
      <c r="Q253" s="27"/>
      <c r="R253" s="27"/>
      <c r="S253" s="27"/>
      <c r="T253" s="28"/>
      <c r="U253" s="156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T253" s="10" t="s">
        <v>86</v>
      </c>
      <c r="AU253" s="10" t="s">
        <v>47</v>
      </c>
    </row>
    <row r="254" spans="1:65" s="5" customFormat="1" ht="22.9" customHeight="1" x14ac:dyDescent="0.2">
      <c r="B254" s="72"/>
      <c r="D254" s="73" t="s">
        <v>44</v>
      </c>
      <c r="E254" s="83" t="s">
        <v>129</v>
      </c>
      <c r="F254" s="83" t="s">
        <v>300</v>
      </c>
      <c r="I254" s="75"/>
      <c r="J254" s="84">
        <f>BK254</f>
        <v>25149.62</v>
      </c>
      <c r="L254" s="72"/>
      <c r="M254" s="77"/>
      <c r="N254" s="78"/>
      <c r="O254" s="78"/>
      <c r="P254" s="79">
        <f>SUM(P255:P287)</f>
        <v>0</v>
      </c>
      <c r="Q254" s="78"/>
      <c r="R254" s="79">
        <f>SUM(R255:R287)</f>
        <v>0.28656339999999997</v>
      </c>
      <c r="S254" s="78"/>
      <c r="T254" s="80">
        <f>SUM(T255:T287)</f>
        <v>0</v>
      </c>
      <c r="AR254" s="73" t="s">
        <v>46</v>
      </c>
      <c r="AT254" s="81" t="s">
        <v>44</v>
      </c>
      <c r="AU254" s="81" t="s">
        <v>46</v>
      </c>
      <c r="AY254" s="73" t="s">
        <v>75</v>
      </c>
      <c r="BK254" s="82">
        <f>SUM(BK255:BK287)</f>
        <v>25149.62</v>
      </c>
    </row>
    <row r="255" spans="1:65" s="1" customFormat="1" ht="24.2" customHeight="1" x14ac:dyDescent="0.2">
      <c r="A255" s="156"/>
      <c r="B255" s="85"/>
      <c r="C255" s="86" t="s">
        <v>301</v>
      </c>
      <c r="D255" s="86" t="s">
        <v>78</v>
      </c>
      <c r="E255" s="87" t="s">
        <v>302</v>
      </c>
      <c r="F255" s="88" t="s">
        <v>303</v>
      </c>
      <c r="G255" s="89" t="s">
        <v>270</v>
      </c>
      <c r="H255" s="90">
        <v>5.47</v>
      </c>
      <c r="I255" s="91">
        <v>617.16852473597498</v>
      </c>
      <c r="J255" s="92">
        <f>ROUND(I255*H255,2)</f>
        <v>3375.91</v>
      </c>
      <c r="K255" s="88" t="s">
        <v>82</v>
      </c>
      <c r="L255" s="16"/>
      <c r="M255" s="93" t="s">
        <v>0</v>
      </c>
      <c r="N255" s="94" t="s">
        <v>27</v>
      </c>
      <c r="O255" s="27"/>
      <c r="P255" s="95">
        <f>O255*H255</f>
        <v>0</v>
      </c>
      <c r="Q255" s="95">
        <v>4.2199999999999998E-3</v>
      </c>
      <c r="R255" s="95">
        <f>Q255*H255</f>
        <v>2.3083399999999997E-2</v>
      </c>
      <c r="S255" s="95">
        <v>0</v>
      </c>
      <c r="T255" s="96">
        <f>S255*H255</f>
        <v>0</v>
      </c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R255" s="97" t="s">
        <v>83</v>
      </c>
      <c r="AT255" s="97" t="s">
        <v>78</v>
      </c>
      <c r="AU255" s="97" t="s">
        <v>47</v>
      </c>
      <c r="AY255" s="10" t="s">
        <v>75</v>
      </c>
      <c r="BE255" s="98">
        <f>IF(N255="základní",J255,0)</f>
        <v>3375.91</v>
      </c>
      <c r="BF255" s="98">
        <f>IF(N255="snížená",J255,0)</f>
        <v>0</v>
      </c>
      <c r="BG255" s="98">
        <f>IF(N255="zákl. přenesená",J255,0)</f>
        <v>0</v>
      </c>
      <c r="BH255" s="98">
        <f>IF(N255="sníž. přenesená",J255,0)</f>
        <v>0</v>
      </c>
      <c r="BI255" s="98">
        <f>IF(N255="nulová",J255,0)</f>
        <v>0</v>
      </c>
      <c r="BJ255" s="10" t="s">
        <v>46</v>
      </c>
      <c r="BK255" s="98">
        <f>ROUND(I255*H255,2)</f>
        <v>3375.91</v>
      </c>
      <c r="BL255" s="10" t="s">
        <v>83</v>
      </c>
      <c r="BM255" s="97" t="s">
        <v>304</v>
      </c>
    </row>
    <row r="256" spans="1:65" s="1" customFormat="1" ht="29.25" x14ac:dyDescent="0.2">
      <c r="A256" s="156"/>
      <c r="B256" s="16"/>
      <c r="C256" s="156"/>
      <c r="D256" s="99" t="s">
        <v>84</v>
      </c>
      <c r="E256" s="156"/>
      <c r="F256" s="100" t="s">
        <v>305</v>
      </c>
      <c r="G256" s="156"/>
      <c r="H256" s="156"/>
      <c r="I256" s="101"/>
      <c r="J256" s="156"/>
      <c r="K256" s="156"/>
      <c r="L256" s="16"/>
      <c r="M256" s="102"/>
      <c r="N256" s="103"/>
      <c r="O256" s="27"/>
      <c r="P256" s="27"/>
      <c r="Q256" s="27"/>
      <c r="R256" s="27"/>
      <c r="S256" s="27"/>
      <c r="T256" s="28"/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T256" s="10" t="s">
        <v>84</v>
      </c>
      <c r="AU256" s="10" t="s">
        <v>47</v>
      </c>
    </row>
    <row r="257" spans="1:65" s="1" customFormat="1" ht="29.25" x14ac:dyDescent="0.2">
      <c r="A257" s="156"/>
      <c r="B257" s="16"/>
      <c r="C257" s="156"/>
      <c r="D257" s="99" t="s">
        <v>86</v>
      </c>
      <c r="E257" s="156"/>
      <c r="F257" s="104" t="s">
        <v>217</v>
      </c>
      <c r="G257" s="156"/>
      <c r="H257" s="156"/>
      <c r="I257" s="101"/>
      <c r="J257" s="156"/>
      <c r="K257" s="156"/>
      <c r="L257" s="16"/>
      <c r="M257" s="102"/>
      <c r="N257" s="103"/>
      <c r="O257" s="27"/>
      <c r="P257" s="27"/>
      <c r="Q257" s="27"/>
      <c r="R257" s="27"/>
      <c r="S257" s="27"/>
      <c r="T257" s="28"/>
      <c r="U257" s="156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T257" s="10" t="s">
        <v>86</v>
      </c>
      <c r="AU257" s="10" t="s">
        <v>47</v>
      </c>
    </row>
    <row r="258" spans="1:65" s="7" customFormat="1" x14ac:dyDescent="0.2">
      <c r="B258" s="112"/>
      <c r="D258" s="99" t="s">
        <v>87</v>
      </c>
      <c r="E258" s="113" t="s">
        <v>0</v>
      </c>
      <c r="F258" s="114">
        <v>3</v>
      </c>
      <c r="H258" s="115">
        <v>3</v>
      </c>
      <c r="I258" s="116"/>
      <c r="L258" s="112"/>
      <c r="M258" s="117"/>
      <c r="N258" s="118"/>
      <c r="O258" s="118"/>
      <c r="P258" s="118"/>
      <c r="Q258" s="118"/>
      <c r="R258" s="118"/>
      <c r="S258" s="118"/>
      <c r="T258" s="119"/>
      <c r="AT258" s="113" t="s">
        <v>87</v>
      </c>
      <c r="AU258" s="113" t="s">
        <v>47</v>
      </c>
      <c r="AV258" s="7" t="s">
        <v>47</v>
      </c>
      <c r="AW258" s="7" t="s">
        <v>19</v>
      </c>
      <c r="AX258" s="7" t="s">
        <v>46</v>
      </c>
      <c r="AY258" s="113" t="s">
        <v>75</v>
      </c>
    </row>
    <row r="259" spans="1:65" s="1" customFormat="1" ht="24.2" customHeight="1" x14ac:dyDescent="0.2">
      <c r="A259" s="156"/>
      <c r="B259" s="85"/>
      <c r="C259" s="86" t="s">
        <v>306</v>
      </c>
      <c r="D259" s="86" t="s">
        <v>78</v>
      </c>
      <c r="E259" s="87" t="s">
        <v>307</v>
      </c>
      <c r="F259" s="88" t="s">
        <v>308</v>
      </c>
      <c r="G259" s="89" t="s">
        <v>309</v>
      </c>
      <c r="H259" s="90">
        <v>4</v>
      </c>
      <c r="I259" s="91">
        <v>214.24530512569368</v>
      </c>
      <c r="J259" s="92">
        <f>ROUND(I259*H259,2)</f>
        <v>856.98</v>
      </c>
      <c r="K259" s="88" t="s">
        <v>82</v>
      </c>
      <c r="L259" s="16"/>
      <c r="M259" s="93" t="s">
        <v>0</v>
      </c>
      <c r="N259" s="94" t="s">
        <v>27</v>
      </c>
      <c r="O259" s="27"/>
      <c r="P259" s="95">
        <f>O259*H259</f>
        <v>0</v>
      </c>
      <c r="Q259" s="95">
        <v>0</v>
      </c>
      <c r="R259" s="95">
        <f>Q259*H259</f>
        <v>0</v>
      </c>
      <c r="S259" s="95">
        <v>0</v>
      </c>
      <c r="T259" s="96">
        <f>S259*H259</f>
        <v>0</v>
      </c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R259" s="97" t="s">
        <v>83</v>
      </c>
      <c r="AT259" s="97" t="s">
        <v>78</v>
      </c>
      <c r="AU259" s="97" t="s">
        <v>47</v>
      </c>
      <c r="AY259" s="10" t="s">
        <v>75</v>
      </c>
      <c r="BE259" s="98">
        <f>IF(N259="základní",J259,0)</f>
        <v>856.98</v>
      </c>
      <c r="BF259" s="98">
        <f>IF(N259="snížená",J259,0)</f>
        <v>0</v>
      </c>
      <c r="BG259" s="98">
        <f>IF(N259="zákl. přenesená",J259,0)</f>
        <v>0</v>
      </c>
      <c r="BH259" s="98">
        <f>IF(N259="sníž. přenesená",J259,0)</f>
        <v>0</v>
      </c>
      <c r="BI259" s="98">
        <f>IF(N259="nulová",J259,0)</f>
        <v>0</v>
      </c>
      <c r="BJ259" s="10" t="s">
        <v>46</v>
      </c>
      <c r="BK259" s="98">
        <f>ROUND(I259*H259,2)</f>
        <v>856.98</v>
      </c>
      <c r="BL259" s="10" t="s">
        <v>83</v>
      </c>
      <c r="BM259" s="97" t="s">
        <v>310</v>
      </c>
    </row>
    <row r="260" spans="1:65" s="1" customFormat="1" ht="19.5" x14ac:dyDescent="0.2">
      <c r="A260" s="156"/>
      <c r="B260" s="16"/>
      <c r="C260" s="156"/>
      <c r="D260" s="99" t="s">
        <v>84</v>
      </c>
      <c r="E260" s="156"/>
      <c r="F260" s="100" t="s">
        <v>311</v>
      </c>
      <c r="G260" s="156"/>
      <c r="H260" s="156"/>
      <c r="I260" s="101"/>
      <c r="J260" s="156"/>
      <c r="K260" s="156"/>
      <c r="L260" s="16"/>
      <c r="M260" s="102"/>
      <c r="N260" s="103"/>
      <c r="O260" s="27"/>
      <c r="P260" s="27"/>
      <c r="Q260" s="27"/>
      <c r="R260" s="27"/>
      <c r="S260" s="27"/>
      <c r="T260" s="28"/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T260" s="10" t="s">
        <v>84</v>
      </c>
      <c r="AU260" s="10" t="s">
        <v>47</v>
      </c>
    </row>
    <row r="261" spans="1:65" s="1" customFormat="1" ht="29.25" x14ac:dyDescent="0.2">
      <c r="A261" s="156"/>
      <c r="B261" s="16"/>
      <c r="C261" s="156"/>
      <c r="D261" s="99" t="s">
        <v>86</v>
      </c>
      <c r="E261" s="156"/>
      <c r="F261" s="104" t="s">
        <v>217</v>
      </c>
      <c r="G261" s="156"/>
      <c r="H261" s="156"/>
      <c r="I261" s="101"/>
      <c r="J261" s="156"/>
      <c r="K261" s="156"/>
      <c r="L261" s="16"/>
      <c r="M261" s="102"/>
      <c r="N261" s="103"/>
      <c r="O261" s="27"/>
      <c r="P261" s="27"/>
      <c r="Q261" s="27"/>
      <c r="R261" s="27"/>
      <c r="S261" s="27"/>
      <c r="T261" s="28"/>
      <c r="U261" s="156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/>
      <c r="AT261" s="10" t="s">
        <v>86</v>
      </c>
      <c r="AU261" s="10" t="s">
        <v>47</v>
      </c>
    </row>
    <row r="262" spans="1:65" s="1" customFormat="1" ht="14.45" customHeight="1" x14ac:dyDescent="0.2">
      <c r="A262" s="156"/>
      <c r="B262" s="85"/>
      <c r="C262" s="136" t="s">
        <v>312</v>
      </c>
      <c r="D262" s="136" t="s">
        <v>126</v>
      </c>
      <c r="E262" s="137" t="s">
        <v>313</v>
      </c>
      <c r="F262" s="138" t="s">
        <v>314</v>
      </c>
      <c r="G262" s="139" t="s">
        <v>309</v>
      </c>
      <c r="H262" s="140">
        <v>2</v>
      </c>
      <c r="I262" s="141">
        <v>100.40486420000001</v>
      </c>
      <c r="J262" s="142">
        <f>ROUND(I262*H262,2)</f>
        <v>200.81</v>
      </c>
      <c r="K262" s="138" t="s">
        <v>82</v>
      </c>
      <c r="L262" s="143"/>
      <c r="M262" s="144" t="s">
        <v>0</v>
      </c>
      <c r="N262" s="145" t="s">
        <v>27</v>
      </c>
      <c r="O262" s="27"/>
      <c r="P262" s="95">
        <f>O262*H262</f>
        <v>0</v>
      </c>
      <c r="Q262" s="95">
        <v>6.4999999999999997E-4</v>
      </c>
      <c r="R262" s="95">
        <f>Q262*H262</f>
        <v>1.2999999999999999E-3</v>
      </c>
      <c r="S262" s="95">
        <v>0</v>
      </c>
      <c r="T262" s="96">
        <f>S262*H262</f>
        <v>0</v>
      </c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R262" s="97" t="s">
        <v>129</v>
      </c>
      <c r="AT262" s="97" t="s">
        <v>126</v>
      </c>
      <c r="AU262" s="97" t="s">
        <v>47</v>
      </c>
      <c r="AY262" s="10" t="s">
        <v>75</v>
      </c>
      <c r="BE262" s="98">
        <f>IF(N262="základní",J262,0)</f>
        <v>200.81</v>
      </c>
      <c r="BF262" s="98">
        <f>IF(N262="snížená",J262,0)</f>
        <v>0</v>
      </c>
      <c r="BG262" s="98">
        <f>IF(N262="zákl. přenesená",J262,0)</f>
        <v>0</v>
      </c>
      <c r="BH262" s="98">
        <f>IF(N262="sníž. přenesená",J262,0)</f>
        <v>0</v>
      </c>
      <c r="BI262" s="98">
        <f>IF(N262="nulová",J262,0)</f>
        <v>0</v>
      </c>
      <c r="BJ262" s="10" t="s">
        <v>46</v>
      </c>
      <c r="BK262" s="98">
        <f>ROUND(I262*H262,2)</f>
        <v>200.81</v>
      </c>
      <c r="BL262" s="10" t="s">
        <v>83</v>
      </c>
      <c r="BM262" s="97" t="s">
        <v>315</v>
      </c>
    </row>
    <row r="263" spans="1:65" s="1" customFormat="1" x14ac:dyDescent="0.2">
      <c r="A263" s="156"/>
      <c r="B263" s="16"/>
      <c r="C263" s="156"/>
      <c r="D263" s="99" t="s">
        <v>84</v>
      </c>
      <c r="E263" s="156"/>
      <c r="F263" s="100" t="s">
        <v>316</v>
      </c>
      <c r="G263" s="156"/>
      <c r="H263" s="156"/>
      <c r="I263" s="101"/>
      <c r="J263" s="156"/>
      <c r="K263" s="156"/>
      <c r="L263" s="16"/>
      <c r="M263" s="102"/>
      <c r="N263" s="103"/>
      <c r="O263" s="27"/>
      <c r="P263" s="27"/>
      <c r="Q263" s="27"/>
      <c r="R263" s="27"/>
      <c r="S263" s="27"/>
      <c r="T263" s="28"/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T263" s="10" t="s">
        <v>84</v>
      </c>
      <c r="AU263" s="10" t="s">
        <v>47</v>
      </c>
    </row>
    <row r="264" spans="1:65" s="1" customFormat="1" ht="14.45" customHeight="1" x14ac:dyDescent="0.2">
      <c r="A264" s="156"/>
      <c r="B264" s="85"/>
      <c r="C264" s="136" t="s">
        <v>317</v>
      </c>
      <c r="D264" s="136" t="s">
        <v>126</v>
      </c>
      <c r="E264" s="137" t="s">
        <v>318</v>
      </c>
      <c r="F264" s="138" t="s">
        <v>319</v>
      </c>
      <c r="G264" s="139" t="s">
        <v>309</v>
      </c>
      <c r="H264" s="140">
        <v>2</v>
      </c>
      <c r="I264" s="141">
        <v>236.80392499999999</v>
      </c>
      <c r="J264" s="142">
        <f>ROUND(I264*H264,2)</f>
        <v>473.61</v>
      </c>
      <c r="K264" s="138" t="s">
        <v>0</v>
      </c>
      <c r="L264" s="143"/>
      <c r="M264" s="144" t="s">
        <v>0</v>
      </c>
      <c r="N264" s="145" t="s">
        <v>27</v>
      </c>
      <c r="O264" s="27"/>
      <c r="P264" s="95">
        <f>O264*H264</f>
        <v>0</v>
      </c>
      <c r="Q264" s="95">
        <v>6.4999999999999997E-4</v>
      </c>
      <c r="R264" s="95">
        <f>Q264*H264</f>
        <v>1.2999999999999999E-3</v>
      </c>
      <c r="S264" s="95">
        <v>0</v>
      </c>
      <c r="T264" s="96">
        <f>S264*H264</f>
        <v>0</v>
      </c>
      <c r="U264" s="156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R264" s="97" t="s">
        <v>129</v>
      </c>
      <c r="AT264" s="97" t="s">
        <v>126</v>
      </c>
      <c r="AU264" s="97" t="s">
        <v>47</v>
      </c>
      <c r="AY264" s="10" t="s">
        <v>75</v>
      </c>
      <c r="BE264" s="98">
        <f>IF(N264="základní",J264,0)</f>
        <v>473.61</v>
      </c>
      <c r="BF264" s="98">
        <f>IF(N264="snížená",J264,0)</f>
        <v>0</v>
      </c>
      <c r="BG264" s="98">
        <f>IF(N264="zákl. přenesená",J264,0)</f>
        <v>0</v>
      </c>
      <c r="BH264" s="98">
        <f>IF(N264="sníž. přenesená",J264,0)</f>
        <v>0</v>
      </c>
      <c r="BI264" s="98">
        <f>IF(N264="nulová",J264,0)</f>
        <v>0</v>
      </c>
      <c r="BJ264" s="10" t="s">
        <v>46</v>
      </c>
      <c r="BK264" s="98">
        <f>ROUND(I264*H264,2)</f>
        <v>473.61</v>
      </c>
      <c r="BL264" s="10" t="s">
        <v>83</v>
      </c>
      <c r="BM264" s="97" t="s">
        <v>320</v>
      </c>
    </row>
    <row r="265" spans="1:65" s="1" customFormat="1" x14ac:dyDescent="0.2">
      <c r="A265" s="156"/>
      <c r="B265" s="16"/>
      <c r="C265" s="156"/>
      <c r="D265" s="99" t="s">
        <v>84</v>
      </c>
      <c r="E265" s="156"/>
      <c r="F265" s="100" t="s">
        <v>319</v>
      </c>
      <c r="G265" s="156"/>
      <c r="H265" s="156"/>
      <c r="I265" s="101"/>
      <c r="J265" s="156"/>
      <c r="K265" s="156"/>
      <c r="L265" s="16"/>
      <c r="M265" s="102"/>
      <c r="N265" s="103"/>
      <c r="O265" s="27"/>
      <c r="P265" s="27"/>
      <c r="Q265" s="27"/>
      <c r="R265" s="27"/>
      <c r="S265" s="27"/>
      <c r="T265" s="28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T265" s="10" t="s">
        <v>84</v>
      </c>
      <c r="AU265" s="10" t="s">
        <v>47</v>
      </c>
    </row>
    <row r="266" spans="1:65" s="1" customFormat="1" ht="14.45" customHeight="1" x14ac:dyDescent="0.2">
      <c r="A266" s="156"/>
      <c r="B266" s="85"/>
      <c r="C266" s="86" t="s">
        <v>321</v>
      </c>
      <c r="D266" s="86" t="s">
        <v>78</v>
      </c>
      <c r="E266" s="87" t="s">
        <v>322</v>
      </c>
      <c r="F266" s="88" t="s">
        <v>323</v>
      </c>
      <c r="G266" s="89" t="s">
        <v>309</v>
      </c>
      <c r="H266" s="90">
        <v>2</v>
      </c>
      <c r="I266" s="91">
        <v>214.24530512569368</v>
      </c>
      <c r="J266" s="92">
        <f>ROUND(I266*H266,2)</f>
        <v>428.49</v>
      </c>
      <c r="K266" s="88" t="s">
        <v>82</v>
      </c>
      <c r="L266" s="16"/>
      <c r="M266" s="93" t="s">
        <v>0</v>
      </c>
      <c r="N266" s="94" t="s">
        <v>27</v>
      </c>
      <c r="O266" s="27"/>
      <c r="P266" s="95">
        <f>O266*H266</f>
        <v>0</v>
      </c>
      <c r="Q266" s="95">
        <v>0</v>
      </c>
      <c r="R266" s="95">
        <f>Q266*H266</f>
        <v>0</v>
      </c>
      <c r="S266" s="95">
        <v>0</v>
      </c>
      <c r="T266" s="96">
        <f>S266*H266</f>
        <v>0</v>
      </c>
      <c r="U266" s="156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R266" s="97" t="s">
        <v>83</v>
      </c>
      <c r="AT266" s="97" t="s">
        <v>78</v>
      </c>
      <c r="AU266" s="97" t="s">
        <v>47</v>
      </c>
      <c r="AY266" s="10" t="s">
        <v>75</v>
      </c>
      <c r="BE266" s="98">
        <f>IF(N266="základní",J266,0)</f>
        <v>428.49</v>
      </c>
      <c r="BF266" s="98">
        <f>IF(N266="snížená",J266,0)</f>
        <v>0</v>
      </c>
      <c r="BG266" s="98">
        <f>IF(N266="zákl. přenesená",J266,0)</f>
        <v>0</v>
      </c>
      <c r="BH266" s="98">
        <f>IF(N266="sníž. přenesená",J266,0)</f>
        <v>0</v>
      </c>
      <c r="BI266" s="98">
        <f>IF(N266="nulová",J266,0)</f>
        <v>0</v>
      </c>
      <c r="BJ266" s="10" t="s">
        <v>46</v>
      </c>
      <c r="BK266" s="98">
        <f>ROUND(I266*H266,2)</f>
        <v>428.49</v>
      </c>
      <c r="BL266" s="10" t="s">
        <v>83</v>
      </c>
      <c r="BM266" s="97" t="s">
        <v>324</v>
      </c>
    </row>
    <row r="267" spans="1:65" s="1" customFormat="1" ht="19.5" x14ac:dyDescent="0.2">
      <c r="A267" s="156"/>
      <c r="B267" s="16"/>
      <c r="C267" s="156"/>
      <c r="D267" s="99" t="s">
        <v>84</v>
      </c>
      <c r="E267" s="156"/>
      <c r="F267" s="100" t="s">
        <v>325</v>
      </c>
      <c r="G267" s="156"/>
      <c r="H267" s="156"/>
      <c r="I267" s="101"/>
      <c r="J267" s="156"/>
      <c r="K267" s="156"/>
      <c r="L267" s="16"/>
      <c r="M267" s="102"/>
      <c r="N267" s="103"/>
      <c r="O267" s="27"/>
      <c r="P267" s="27"/>
      <c r="Q267" s="27"/>
      <c r="R267" s="27"/>
      <c r="S267" s="27"/>
      <c r="T267" s="28"/>
      <c r="U267" s="156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T267" s="10" t="s">
        <v>84</v>
      </c>
      <c r="AU267" s="10" t="s">
        <v>47</v>
      </c>
    </row>
    <row r="268" spans="1:65" s="1" customFormat="1" ht="29.25" x14ac:dyDescent="0.2">
      <c r="A268" s="156"/>
      <c r="B268" s="16"/>
      <c r="C268" s="156"/>
      <c r="D268" s="99" t="s">
        <v>86</v>
      </c>
      <c r="E268" s="156"/>
      <c r="F268" s="104" t="s">
        <v>217</v>
      </c>
      <c r="G268" s="156"/>
      <c r="H268" s="156"/>
      <c r="I268" s="101"/>
      <c r="J268" s="156"/>
      <c r="K268" s="156"/>
      <c r="L268" s="16"/>
      <c r="M268" s="102"/>
      <c r="N268" s="103"/>
      <c r="O268" s="27"/>
      <c r="P268" s="27"/>
      <c r="Q268" s="27"/>
      <c r="R268" s="27"/>
      <c r="S268" s="27"/>
      <c r="T268" s="28"/>
      <c r="U268" s="156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T268" s="10" t="s">
        <v>86</v>
      </c>
      <c r="AU268" s="10" t="s">
        <v>47</v>
      </c>
    </row>
    <row r="269" spans="1:65" s="6" customFormat="1" x14ac:dyDescent="0.2">
      <c r="B269" s="105"/>
      <c r="D269" s="99" t="s">
        <v>87</v>
      </c>
      <c r="E269" s="106" t="s">
        <v>0</v>
      </c>
      <c r="F269" s="107" t="s">
        <v>326</v>
      </c>
      <c r="H269" s="106" t="s">
        <v>0</v>
      </c>
      <c r="I269" s="108"/>
      <c r="L269" s="105"/>
      <c r="M269" s="109"/>
      <c r="N269" s="110"/>
      <c r="O269" s="110"/>
      <c r="P269" s="110"/>
      <c r="Q269" s="110"/>
      <c r="R269" s="110"/>
      <c r="S269" s="110"/>
      <c r="T269" s="111"/>
      <c r="AT269" s="106" t="s">
        <v>87</v>
      </c>
      <c r="AU269" s="106" t="s">
        <v>47</v>
      </c>
      <c r="AV269" s="6" t="s">
        <v>46</v>
      </c>
      <c r="AW269" s="6" t="s">
        <v>19</v>
      </c>
      <c r="AX269" s="6" t="s">
        <v>45</v>
      </c>
      <c r="AY269" s="106" t="s">
        <v>75</v>
      </c>
    </row>
    <row r="270" spans="1:65" s="7" customFormat="1" x14ac:dyDescent="0.2">
      <c r="B270" s="112"/>
      <c r="D270" s="99" t="s">
        <v>87</v>
      </c>
      <c r="E270" s="113" t="s">
        <v>0</v>
      </c>
      <c r="F270" s="114" t="s">
        <v>48</v>
      </c>
      <c r="H270" s="115">
        <v>2</v>
      </c>
      <c r="I270" s="116"/>
      <c r="L270" s="112"/>
      <c r="M270" s="117"/>
      <c r="N270" s="118"/>
      <c r="O270" s="118"/>
      <c r="P270" s="118"/>
      <c r="Q270" s="118"/>
      <c r="R270" s="118"/>
      <c r="S270" s="118"/>
      <c r="T270" s="119"/>
      <c r="AT270" s="113" t="s">
        <v>87</v>
      </c>
      <c r="AU270" s="113" t="s">
        <v>47</v>
      </c>
      <c r="AV270" s="7" t="s">
        <v>47</v>
      </c>
      <c r="AW270" s="7" t="s">
        <v>19</v>
      </c>
      <c r="AX270" s="7" t="s">
        <v>46</v>
      </c>
      <c r="AY270" s="113" t="s">
        <v>75</v>
      </c>
    </row>
    <row r="271" spans="1:65" s="1" customFormat="1" ht="14.45" customHeight="1" x14ac:dyDescent="0.2">
      <c r="A271" s="156"/>
      <c r="B271" s="85"/>
      <c r="C271" s="136" t="s">
        <v>328</v>
      </c>
      <c r="D271" s="136" t="s">
        <v>126</v>
      </c>
      <c r="E271" s="137" t="s">
        <v>329</v>
      </c>
      <c r="F271" s="138" t="s">
        <v>330</v>
      </c>
      <c r="G271" s="139" t="s">
        <v>309</v>
      </c>
      <c r="H271" s="140">
        <v>2</v>
      </c>
      <c r="I271" s="141">
        <v>59.200981249999998</v>
      </c>
      <c r="J271" s="142">
        <f>ROUND(I271*H271,2)</f>
        <v>118.4</v>
      </c>
      <c r="K271" s="138" t="s">
        <v>82</v>
      </c>
      <c r="L271" s="143"/>
      <c r="M271" s="144" t="s">
        <v>0</v>
      </c>
      <c r="N271" s="145" t="s">
        <v>27</v>
      </c>
      <c r="O271" s="27"/>
      <c r="P271" s="95">
        <f>O271*H271</f>
        <v>0</v>
      </c>
      <c r="Q271" s="95">
        <v>2.9E-4</v>
      </c>
      <c r="R271" s="95">
        <f>Q271*H271</f>
        <v>5.8E-4</v>
      </c>
      <c r="S271" s="95">
        <v>0</v>
      </c>
      <c r="T271" s="96">
        <f>S271*H271</f>
        <v>0</v>
      </c>
      <c r="U271" s="156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R271" s="97" t="s">
        <v>129</v>
      </c>
      <c r="AT271" s="97" t="s">
        <v>126</v>
      </c>
      <c r="AU271" s="97" t="s">
        <v>47</v>
      </c>
      <c r="AY271" s="10" t="s">
        <v>75</v>
      </c>
      <c r="BE271" s="98">
        <f>IF(N271="základní",J271,0)</f>
        <v>118.4</v>
      </c>
      <c r="BF271" s="98">
        <f>IF(N271="snížená",J271,0)</f>
        <v>0</v>
      </c>
      <c r="BG271" s="98">
        <f>IF(N271="zákl. přenesená",J271,0)</f>
        <v>0</v>
      </c>
      <c r="BH271" s="98">
        <f>IF(N271="sníž. přenesená",J271,0)</f>
        <v>0</v>
      </c>
      <c r="BI271" s="98">
        <f>IF(N271="nulová",J271,0)</f>
        <v>0</v>
      </c>
      <c r="BJ271" s="10" t="s">
        <v>46</v>
      </c>
      <c r="BK271" s="98">
        <f>ROUND(I271*H271,2)</f>
        <v>118.4</v>
      </c>
      <c r="BL271" s="10" t="s">
        <v>83</v>
      </c>
      <c r="BM271" s="97" t="s">
        <v>331</v>
      </c>
    </row>
    <row r="272" spans="1:65" s="1" customFormat="1" x14ac:dyDescent="0.2">
      <c r="A272" s="156"/>
      <c r="B272" s="16"/>
      <c r="C272" s="156"/>
      <c r="D272" s="99" t="s">
        <v>84</v>
      </c>
      <c r="E272" s="156"/>
      <c r="F272" s="100" t="s">
        <v>330</v>
      </c>
      <c r="G272" s="156"/>
      <c r="H272" s="156"/>
      <c r="I272" s="101"/>
      <c r="J272" s="156"/>
      <c r="K272" s="156"/>
      <c r="L272" s="16"/>
      <c r="M272" s="102"/>
      <c r="N272" s="103"/>
      <c r="O272" s="27"/>
      <c r="P272" s="27"/>
      <c r="Q272" s="27"/>
      <c r="R272" s="27"/>
      <c r="S272" s="27"/>
      <c r="T272" s="28"/>
      <c r="U272" s="156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T272" s="10" t="s">
        <v>84</v>
      </c>
      <c r="AU272" s="10" t="s">
        <v>47</v>
      </c>
    </row>
    <row r="273" spans="1:65" s="1" customFormat="1" ht="14.45" customHeight="1" x14ac:dyDescent="0.2">
      <c r="A273" s="156"/>
      <c r="B273" s="85"/>
      <c r="C273" s="86" t="s">
        <v>327</v>
      </c>
      <c r="D273" s="86" t="s">
        <v>78</v>
      </c>
      <c r="E273" s="87" t="s">
        <v>332</v>
      </c>
      <c r="F273" s="88" t="s">
        <v>333</v>
      </c>
      <c r="G273" s="89" t="s">
        <v>270</v>
      </c>
      <c r="H273" s="90">
        <v>5.47</v>
      </c>
      <c r="I273" s="91">
        <v>21.984104604889872</v>
      </c>
      <c r="J273" s="92">
        <f>ROUND(I273*H273,2)</f>
        <v>120.25</v>
      </c>
      <c r="K273" s="88" t="s">
        <v>82</v>
      </c>
      <c r="L273" s="16"/>
      <c r="M273" s="93" t="s">
        <v>0</v>
      </c>
      <c r="N273" s="94" t="s">
        <v>27</v>
      </c>
      <c r="O273" s="27"/>
      <c r="P273" s="95">
        <f>O273*H273</f>
        <v>0</v>
      </c>
      <c r="Q273" s="95">
        <v>0</v>
      </c>
      <c r="R273" s="95">
        <f>Q273*H273</f>
        <v>0</v>
      </c>
      <c r="S273" s="95">
        <v>0</v>
      </c>
      <c r="T273" s="96">
        <f>S273*H273</f>
        <v>0</v>
      </c>
      <c r="U273" s="156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R273" s="97" t="s">
        <v>83</v>
      </c>
      <c r="AT273" s="97" t="s">
        <v>78</v>
      </c>
      <c r="AU273" s="97" t="s">
        <v>47</v>
      </c>
      <c r="AY273" s="10" t="s">
        <v>75</v>
      </c>
      <c r="BE273" s="98">
        <f>IF(N273="základní",J273,0)</f>
        <v>120.25</v>
      </c>
      <c r="BF273" s="98">
        <f>IF(N273="snížená",J273,0)</f>
        <v>0</v>
      </c>
      <c r="BG273" s="98">
        <f>IF(N273="zákl. přenesená",J273,0)</f>
        <v>0</v>
      </c>
      <c r="BH273" s="98">
        <f>IF(N273="sníž. přenesená",J273,0)</f>
        <v>0</v>
      </c>
      <c r="BI273" s="98">
        <f>IF(N273="nulová",J273,0)</f>
        <v>0</v>
      </c>
      <c r="BJ273" s="10" t="s">
        <v>46</v>
      </c>
      <c r="BK273" s="98">
        <f>ROUND(I273*H273,2)</f>
        <v>120.25</v>
      </c>
      <c r="BL273" s="10" t="s">
        <v>83</v>
      </c>
      <c r="BM273" s="97" t="s">
        <v>334</v>
      </c>
    </row>
    <row r="274" spans="1:65" s="1" customFormat="1" x14ac:dyDescent="0.2">
      <c r="A274" s="156"/>
      <c r="B274" s="16"/>
      <c r="C274" s="156"/>
      <c r="D274" s="99" t="s">
        <v>84</v>
      </c>
      <c r="E274" s="156"/>
      <c r="F274" s="100" t="s">
        <v>335</v>
      </c>
      <c r="G274" s="156"/>
      <c r="H274" s="156"/>
      <c r="I274" s="101"/>
      <c r="J274" s="156"/>
      <c r="K274" s="156"/>
      <c r="L274" s="16"/>
      <c r="M274" s="102"/>
      <c r="N274" s="103"/>
      <c r="O274" s="27"/>
      <c r="P274" s="27"/>
      <c r="Q274" s="27"/>
      <c r="R274" s="27"/>
      <c r="S274" s="27"/>
      <c r="T274" s="28"/>
      <c r="U274" s="156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T274" s="10" t="s">
        <v>84</v>
      </c>
      <c r="AU274" s="10" t="s">
        <v>47</v>
      </c>
    </row>
    <row r="275" spans="1:65" s="1" customFormat="1" ht="19.5" x14ac:dyDescent="0.2">
      <c r="A275" s="156"/>
      <c r="B275" s="16"/>
      <c r="C275" s="156"/>
      <c r="D275" s="99" t="s">
        <v>86</v>
      </c>
      <c r="E275" s="156"/>
      <c r="F275" s="104" t="s">
        <v>336</v>
      </c>
      <c r="G275" s="156"/>
      <c r="H275" s="156"/>
      <c r="I275" s="101"/>
      <c r="J275" s="156"/>
      <c r="K275" s="156"/>
      <c r="L275" s="16"/>
      <c r="M275" s="102"/>
      <c r="N275" s="103"/>
      <c r="O275" s="27"/>
      <c r="P275" s="27"/>
      <c r="Q275" s="27"/>
      <c r="R275" s="27"/>
      <c r="S275" s="27"/>
      <c r="T275" s="28"/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T275" s="10" t="s">
        <v>86</v>
      </c>
      <c r="AU275" s="10" t="s">
        <v>47</v>
      </c>
    </row>
    <row r="276" spans="1:65" s="1" customFormat="1" ht="24.2" customHeight="1" x14ac:dyDescent="0.2">
      <c r="A276" s="156"/>
      <c r="B276" s="85"/>
      <c r="C276" s="86" t="s">
        <v>169</v>
      </c>
      <c r="D276" s="86" t="s">
        <v>78</v>
      </c>
      <c r="E276" s="87" t="s">
        <v>337</v>
      </c>
      <c r="F276" s="88" t="s">
        <v>338</v>
      </c>
      <c r="G276" s="89" t="s">
        <v>309</v>
      </c>
      <c r="H276" s="90">
        <v>2</v>
      </c>
      <c r="I276" s="91">
        <v>3029.9958423936168</v>
      </c>
      <c r="J276" s="92">
        <f>ROUND(I276*H276,2)</f>
        <v>6059.99</v>
      </c>
      <c r="K276" s="88" t="s">
        <v>82</v>
      </c>
      <c r="L276" s="16"/>
      <c r="M276" s="93" t="s">
        <v>0</v>
      </c>
      <c r="N276" s="94" t="s">
        <v>27</v>
      </c>
      <c r="O276" s="27"/>
      <c r="P276" s="95">
        <f>O276*H276</f>
        <v>0</v>
      </c>
      <c r="Q276" s="95">
        <v>5.8029999999999998E-2</v>
      </c>
      <c r="R276" s="95">
        <f>Q276*H276</f>
        <v>0.11606</v>
      </c>
      <c r="S276" s="95">
        <v>0</v>
      </c>
      <c r="T276" s="96">
        <f>S276*H276</f>
        <v>0</v>
      </c>
      <c r="U276" s="156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R276" s="97" t="s">
        <v>83</v>
      </c>
      <c r="AT276" s="97" t="s">
        <v>78</v>
      </c>
      <c r="AU276" s="97" t="s">
        <v>47</v>
      </c>
      <c r="AY276" s="10" t="s">
        <v>75</v>
      </c>
      <c r="BE276" s="98">
        <f>IF(N276="základní",J276,0)</f>
        <v>6059.99</v>
      </c>
      <c r="BF276" s="98">
        <f>IF(N276="snížená",J276,0)</f>
        <v>0</v>
      </c>
      <c r="BG276" s="98">
        <f>IF(N276="zákl. přenesená",J276,0)</f>
        <v>0</v>
      </c>
      <c r="BH276" s="98">
        <f>IF(N276="sníž. přenesená",J276,0)</f>
        <v>0</v>
      </c>
      <c r="BI276" s="98">
        <f>IF(N276="nulová",J276,0)</f>
        <v>0</v>
      </c>
      <c r="BJ276" s="10" t="s">
        <v>46</v>
      </c>
      <c r="BK276" s="98">
        <f>ROUND(I276*H276,2)</f>
        <v>6059.99</v>
      </c>
      <c r="BL276" s="10" t="s">
        <v>83</v>
      </c>
      <c r="BM276" s="97" t="s">
        <v>339</v>
      </c>
    </row>
    <row r="277" spans="1:65" s="1" customFormat="1" ht="29.25" x14ac:dyDescent="0.2">
      <c r="A277" s="156"/>
      <c r="B277" s="16"/>
      <c r="C277" s="156"/>
      <c r="D277" s="99" t="s">
        <v>84</v>
      </c>
      <c r="E277" s="156"/>
      <c r="F277" s="100" t="s">
        <v>340</v>
      </c>
      <c r="G277" s="156"/>
      <c r="H277" s="156"/>
      <c r="I277" s="101"/>
      <c r="J277" s="156"/>
      <c r="K277" s="156"/>
      <c r="L277" s="16"/>
      <c r="M277" s="102"/>
      <c r="N277" s="103"/>
      <c r="O277" s="27"/>
      <c r="P277" s="27"/>
      <c r="Q277" s="27"/>
      <c r="R277" s="27"/>
      <c r="S277" s="27"/>
      <c r="T277" s="28"/>
      <c r="U277" s="156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T277" s="10" t="s">
        <v>84</v>
      </c>
      <c r="AU277" s="10" t="s">
        <v>47</v>
      </c>
    </row>
    <row r="278" spans="1:65" s="1" customFormat="1" ht="29.25" x14ac:dyDescent="0.2">
      <c r="A278" s="156"/>
      <c r="B278" s="16"/>
      <c r="C278" s="156"/>
      <c r="D278" s="99" t="s">
        <v>86</v>
      </c>
      <c r="E278" s="156"/>
      <c r="F278" s="104" t="s">
        <v>217</v>
      </c>
      <c r="G278" s="156"/>
      <c r="H278" s="156"/>
      <c r="I278" s="101"/>
      <c r="J278" s="156"/>
      <c r="K278" s="156"/>
      <c r="L278" s="16"/>
      <c r="M278" s="102"/>
      <c r="N278" s="103"/>
      <c r="O278" s="27"/>
      <c r="P278" s="27"/>
      <c r="Q278" s="27"/>
      <c r="R278" s="27"/>
      <c r="S278" s="27"/>
      <c r="T278" s="28"/>
      <c r="U278" s="156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T278" s="10" t="s">
        <v>86</v>
      </c>
      <c r="AU278" s="10" t="s">
        <v>47</v>
      </c>
    </row>
    <row r="279" spans="1:65" s="7" customFormat="1" x14ac:dyDescent="0.2">
      <c r="B279" s="112"/>
      <c r="D279" s="99" t="s">
        <v>87</v>
      </c>
      <c r="E279" s="113" t="s">
        <v>0</v>
      </c>
      <c r="F279" s="114" t="s">
        <v>48</v>
      </c>
      <c r="H279" s="115">
        <v>2</v>
      </c>
      <c r="I279" s="116"/>
      <c r="L279" s="112"/>
      <c r="M279" s="117"/>
      <c r="N279" s="118"/>
      <c r="O279" s="118"/>
      <c r="P279" s="118"/>
      <c r="Q279" s="118"/>
      <c r="R279" s="118"/>
      <c r="S279" s="118"/>
      <c r="T279" s="119"/>
      <c r="AT279" s="113" t="s">
        <v>87</v>
      </c>
      <c r="AU279" s="113" t="s">
        <v>47</v>
      </c>
      <c r="AV279" s="7" t="s">
        <v>47</v>
      </c>
      <c r="AW279" s="7" t="s">
        <v>19</v>
      </c>
      <c r="AX279" s="7" t="s">
        <v>46</v>
      </c>
      <c r="AY279" s="113" t="s">
        <v>75</v>
      </c>
    </row>
    <row r="280" spans="1:65" s="1" customFormat="1" ht="24.2" customHeight="1" x14ac:dyDescent="0.2">
      <c r="A280" s="156"/>
      <c r="B280" s="85"/>
      <c r="C280" s="86" t="s">
        <v>173</v>
      </c>
      <c r="D280" s="86" t="s">
        <v>78</v>
      </c>
      <c r="E280" s="87" t="s">
        <v>341</v>
      </c>
      <c r="F280" s="88" t="s">
        <v>342</v>
      </c>
      <c r="G280" s="89" t="s">
        <v>309</v>
      </c>
      <c r="H280" s="90">
        <v>2</v>
      </c>
      <c r="I280" s="91">
        <v>1731.8858985723084</v>
      </c>
      <c r="J280" s="92">
        <f>ROUND(I280*H280,2)</f>
        <v>3463.77</v>
      </c>
      <c r="K280" s="88" t="s">
        <v>82</v>
      </c>
      <c r="L280" s="16"/>
      <c r="M280" s="93" t="s">
        <v>0</v>
      </c>
      <c r="N280" s="94" t="s">
        <v>27</v>
      </c>
      <c r="O280" s="27"/>
      <c r="P280" s="95">
        <f>O280*H280</f>
        <v>0</v>
      </c>
      <c r="Q280" s="95">
        <v>1.136E-2</v>
      </c>
      <c r="R280" s="95">
        <f>Q280*H280</f>
        <v>2.2720000000000001E-2</v>
      </c>
      <c r="S280" s="95">
        <v>0</v>
      </c>
      <c r="T280" s="96">
        <f>S280*H280</f>
        <v>0</v>
      </c>
      <c r="U280" s="156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R280" s="97" t="s">
        <v>83</v>
      </c>
      <c r="AT280" s="97" t="s">
        <v>78</v>
      </c>
      <c r="AU280" s="97" t="s">
        <v>47</v>
      </c>
      <c r="AY280" s="10" t="s">
        <v>75</v>
      </c>
      <c r="BE280" s="98">
        <f>IF(N280="základní",J280,0)</f>
        <v>3463.77</v>
      </c>
      <c r="BF280" s="98">
        <f>IF(N280="snížená",J280,0)</f>
        <v>0</v>
      </c>
      <c r="BG280" s="98">
        <f>IF(N280="zákl. přenesená",J280,0)</f>
        <v>0</v>
      </c>
      <c r="BH280" s="98">
        <f>IF(N280="sníž. přenesená",J280,0)</f>
        <v>0</v>
      </c>
      <c r="BI280" s="98">
        <f>IF(N280="nulová",J280,0)</f>
        <v>0</v>
      </c>
      <c r="BJ280" s="10" t="s">
        <v>46</v>
      </c>
      <c r="BK280" s="98">
        <f>ROUND(I280*H280,2)</f>
        <v>3463.77</v>
      </c>
      <c r="BL280" s="10" t="s">
        <v>83</v>
      </c>
      <c r="BM280" s="97" t="s">
        <v>343</v>
      </c>
    </row>
    <row r="281" spans="1:65" s="1" customFormat="1" ht="19.5" x14ac:dyDescent="0.2">
      <c r="A281" s="156"/>
      <c r="B281" s="16"/>
      <c r="C281" s="156"/>
      <c r="D281" s="99" t="s">
        <v>84</v>
      </c>
      <c r="E281" s="156"/>
      <c r="F281" s="100" t="s">
        <v>344</v>
      </c>
      <c r="G281" s="156"/>
      <c r="H281" s="156"/>
      <c r="I281" s="101"/>
      <c r="J281" s="156"/>
      <c r="K281" s="156"/>
      <c r="L281" s="16"/>
      <c r="M281" s="102"/>
      <c r="N281" s="103"/>
      <c r="O281" s="27"/>
      <c r="P281" s="27"/>
      <c r="Q281" s="27"/>
      <c r="R281" s="27"/>
      <c r="S281" s="27"/>
      <c r="T281" s="28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T281" s="10" t="s">
        <v>84</v>
      </c>
      <c r="AU281" s="10" t="s">
        <v>47</v>
      </c>
    </row>
    <row r="282" spans="1:65" s="1" customFormat="1" ht="24.2" customHeight="1" x14ac:dyDescent="0.2">
      <c r="A282" s="156"/>
      <c r="B282" s="85"/>
      <c r="C282" s="86" t="s">
        <v>345</v>
      </c>
      <c r="D282" s="86" t="s">
        <v>78</v>
      </c>
      <c r="E282" s="87" t="s">
        <v>346</v>
      </c>
      <c r="F282" s="88" t="s">
        <v>347</v>
      </c>
      <c r="G282" s="89" t="s">
        <v>309</v>
      </c>
      <c r="H282" s="90">
        <v>2</v>
      </c>
      <c r="I282" s="91">
        <v>769.70783374577138</v>
      </c>
      <c r="J282" s="92">
        <f>ROUND(I282*H282,2)</f>
        <v>1539.42</v>
      </c>
      <c r="K282" s="88" t="s">
        <v>82</v>
      </c>
      <c r="L282" s="16"/>
      <c r="M282" s="93" t="s">
        <v>0</v>
      </c>
      <c r="N282" s="94" t="s">
        <v>27</v>
      </c>
      <c r="O282" s="27"/>
      <c r="P282" s="95">
        <f>O282*H282</f>
        <v>0</v>
      </c>
      <c r="Q282" s="95">
        <v>6.2199999999999998E-3</v>
      </c>
      <c r="R282" s="95">
        <f>Q282*H282</f>
        <v>1.244E-2</v>
      </c>
      <c r="S282" s="95">
        <v>0</v>
      </c>
      <c r="T282" s="96">
        <f>S282*H282</f>
        <v>0</v>
      </c>
      <c r="U282" s="156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R282" s="97" t="s">
        <v>83</v>
      </c>
      <c r="AT282" s="97" t="s">
        <v>78</v>
      </c>
      <c r="AU282" s="97" t="s">
        <v>47</v>
      </c>
      <c r="AY282" s="10" t="s">
        <v>75</v>
      </c>
      <c r="BE282" s="98">
        <f>IF(N282="základní",J282,0)</f>
        <v>1539.42</v>
      </c>
      <c r="BF282" s="98">
        <f>IF(N282="snížená",J282,0)</f>
        <v>0</v>
      </c>
      <c r="BG282" s="98">
        <f>IF(N282="zákl. přenesená",J282,0)</f>
        <v>0</v>
      </c>
      <c r="BH282" s="98">
        <f>IF(N282="sníž. přenesená",J282,0)</f>
        <v>0</v>
      </c>
      <c r="BI282" s="98">
        <f>IF(N282="nulová",J282,0)</f>
        <v>0</v>
      </c>
      <c r="BJ282" s="10" t="s">
        <v>46</v>
      </c>
      <c r="BK282" s="98">
        <f>ROUND(I282*H282,2)</f>
        <v>1539.42</v>
      </c>
      <c r="BL282" s="10" t="s">
        <v>83</v>
      </c>
      <c r="BM282" s="97" t="s">
        <v>348</v>
      </c>
    </row>
    <row r="283" spans="1:65" s="1" customFormat="1" ht="29.25" x14ac:dyDescent="0.2">
      <c r="A283" s="156"/>
      <c r="B283" s="16"/>
      <c r="C283" s="156"/>
      <c r="D283" s="99" t="s">
        <v>84</v>
      </c>
      <c r="E283" s="156"/>
      <c r="F283" s="100" t="s">
        <v>349</v>
      </c>
      <c r="G283" s="156"/>
      <c r="H283" s="156"/>
      <c r="I283" s="101"/>
      <c r="J283" s="156"/>
      <c r="K283" s="156"/>
      <c r="L283" s="16"/>
      <c r="M283" s="102"/>
      <c r="N283" s="103"/>
      <c r="O283" s="27"/>
      <c r="P283" s="27"/>
      <c r="Q283" s="27"/>
      <c r="R283" s="27"/>
      <c r="S283" s="27"/>
      <c r="T283" s="28"/>
      <c r="U283" s="156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T283" s="10" t="s">
        <v>84</v>
      </c>
      <c r="AU283" s="10" t="s">
        <v>47</v>
      </c>
    </row>
    <row r="284" spans="1:65" s="1" customFormat="1" ht="24.2" customHeight="1" x14ac:dyDescent="0.2">
      <c r="A284" s="156"/>
      <c r="B284" s="85"/>
      <c r="C284" s="86" t="s">
        <v>177</v>
      </c>
      <c r="D284" s="86" t="s">
        <v>78</v>
      </c>
      <c r="E284" s="87" t="s">
        <v>350</v>
      </c>
      <c r="F284" s="88" t="s">
        <v>351</v>
      </c>
      <c r="G284" s="89" t="s">
        <v>309</v>
      </c>
      <c r="H284" s="90">
        <v>2</v>
      </c>
      <c r="I284" s="91">
        <v>809.35201412271431</v>
      </c>
      <c r="J284" s="92">
        <f>ROUND(I284*H284,2)</f>
        <v>1618.7</v>
      </c>
      <c r="K284" s="88" t="s">
        <v>82</v>
      </c>
      <c r="L284" s="16"/>
      <c r="M284" s="93" t="s">
        <v>0</v>
      </c>
      <c r="N284" s="94" t="s">
        <v>27</v>
      </c>
      <c r="O284" s="27"/>
      <c r="P284" s="95">
        <f>O284*H284</f>
        <v>0</v>
      </c>
      <c r="Q284" s="95">
        <v>0</v>
      </c>
      <c r="R284" s="95">
        <f>Q284*H284</f>
        <v>0</v>
      </c>
      <c r="S284" s="95">
        <v>0</v>
      </c>
      <c r="T284" s="96">
        <f>S284*H284</f>
        <v>0</v>
      </c>
      <c r="U284" s="156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R284" s="97" t="s">
        <v>83</v>
      </c>
      <c r="AT284" s="97" t="s">
        <v>78</v>
      </c>
      <c r="AU284" s="97" t="s">
        <v>47</v>
      </c>
      <c r="AY284" s="10" t="s">
        <v>75</v>
      </c>
      <c r="BE284" s="98">
        <f>IF(N284="základní",J284,0)</f>
        <v>1618.7</v>
      </c>
      <c r="BF284" s="98">
        <f>IF(N284="snížená",J284,0)</f>
        <v>0</v>
      </c>
      <c r="BG284" s="98">
        <f>IF(N284="zákl. přenesená",J284,0)</f>
        <v>0</v>
      </c>
      <c r="BH284" s="98">
        <f>IF(N284="sníž. přenesená",J284,0)</f>
        <v>0</v>
      </c>
      <c r="BI284" s="98">
        <f>IF(N284="nulová",J284,0)</f>
        <v>0</v>
      </c>
      <c r="BJ284" s="10" t="s">
        <v>46</v>
      </c>
      <c r="BK284" s="98">
        <f>ROUND(I284*H284,2)</f>
        <v>1618.7</v>
      </c>
      <c r="BL284" s="10" t="s">
        <v>83</v>
      </c>
      <c r="BM284" s="97" t="s">
        <v>352</v>
      </c>
    </row>
    <row r="285" spans="1:65" s="1" customFormat="1" ht="29.25" x14ac:dyDescent="0.2">
      <c r="A285" s="156"/>
      <c r="B285" s="16"/>
      <c r="C285" s="156"/>
      <c r="D285" s="99" t="s">
        <v>84</v>
      </c>
      <c r="E285" s="156"/>
      <c r="F285" s="100" t="s">
        <v>353</v>
      </c>
      <c r="G285" s="156"/>
      <c r="H285" s="156"/>
      <c r="I285" s="101"/>
      <c r="J285" s="156"/>
      <c r="K285" s="156"/>
      <c r="L285" s="16"/>
      <c r="M285" s="102"/>
      <c r="N285" s="103"/>
      <c r="O285" s="27"/>
      <c r="P285" s="27"/>
      <c r="Q285" s="27"/>
      <c r="R285" s="27"/>
      <c r="S285" s="27"/>
      <c r="T285" s="28"/>
      <c r="U285" s="156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T285" s="10" t="s">
        <v>84</v>
      </c>
      <c r="AU285" s="10" t="s">
        <v>47</v>
      </c>
    </row>
    <row r="286" spans="1:65" s="1" customFormat="1" ht="24.2" customHeight="1" x14ac:dyDescent="0.2">
      <c r="A286" s="156"/>
      <c r="B286" s="85"/>
      <c r="C286" s="86" t="s">
        <v>354</v>
      </c>
      <c r="D286" s="86" t="s">
        <v>78</v>
      </c>
      <c r="E286" s="87" t="s">
        <v>355</v>
      </c>
      <c r="F286" s="88" t="s">
        <v>356</v>
      </c>
      <c r="G286" s="89" t="s">
        <v>309</v>
      </c>
      <c r="H286" s="90">
        <v>2</v>
      </c>
      <c r="I286" s="91">
        <v>3446.6463092111458</v>
      </c>
      <c r="J286" s="92">
        <f>ROUND(I286*H286,2)</f>
        <v>6893.29</v>
      </c>
      <c r="K286" s="88" t="s">
        <v>82</v>
      </c>
      <c r="L286" s="16"/>
      <c r="M286" s="93" t="s">
        <v>0</v>
      </c>
      <c r="N286" s="94" t="s">
        <v>27</v>
      </c>
      <c r="O286" s="27"/>
      <c r="P286" s="95">
        <f>O286*H286</f>
        <v>0</v>
      </c>
      <c r="Q286" s="95">
        <v>5.4539999999999998E-2</v>
      </c>
      <c r="R286" s="95">
        <f>Q286*H286</f>
        <v>0.10908</v>
      </c>
      <c r="S286" s="95">
        <v>0</v>
      </c>
      <c r="T286" s="96">
        <f>S286*H286</f>
        <v>0</v>
      </c>
      <c r="U286" s="156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R286" s="97" t="s">
        <v>83</v>
      </c>
      <c r="AT286" s="97" t="s">
        <v>78</v>
      </c>
      <c r="AU286" s="97" t="s">
        <v>47</v>
      </c>
      <c r="AY286" s="10" t="s">
        <v>75</v>
      </c>
      <c r="BE286" s="98">
        <f>IF(N286="základní",J286,0)</f>
        <v>6893.29</v>
      </c>
      <c r="BF286" s="98">
        <f>IF(N286="snížená",J286,0)</f>
        <v>0</v>
      </c>
      <c r="BG286" s="98">
        <f>IF(N286="zákl. přenesená",J286,0)</f>
        <v>0</v>
      </c>
      <c r="BH286" s="98">
        <f>IF(N286="sníž. přenesená",J286,0)</f>
        <v>0</v>
      </c>
      <c r="BI286" s="98">
        <f>IF(N286="nulová",J286,0)</f>
        <v>0</v>
      </c>
      <c r="BJ286" s="10" t="s">
        <v>46</v>
      </c>
      <c r="BK286" s="98">
        <f>ROUND(I286*H286,2)</f>
        <v>6893.29</v>
      </c>
      <c r="BL286" s="10" t="s">
        <v>83</v>
      </c>
      <c r="BM286" s="97" t="s">
        <v>357</v>
      </c>
    </row>
    <row r="287" spans="1:65" s="1" customFormat="1" ht="29.25" x14ac:dyDescent="0.2">
      <c r="A287" s="156"/>
      <c r="B287" s="16"/>
      <c r="C287" s="156"/>
      <c r="D287" s="99" t="s">
        <v>84</v>
      </c>
      <c r="E287" s="156"/>
      <c r="F287" s="100" t="s">
        <v>358</v>
      </c>
      <c r="G287" s="156"/>
      <c r="H287" s="156"/>
      <c r="I287" s="101"/>
      <c r="J287" s="156"/>
      <c r="K287" s="156"/>
      <c r="L287" s="16"/>
      <c r="M287" s="102"/>
      <c r="N287" s="103"/>
      <c r="O287" s="27"/>
      <c r="P287" s="27"/>
      <c r="Q287" s="27"/>
      <c r="R287" s="27"/>
      <c r="S287" s="27"/>
      <c r="T287" s="28"/>
      <c r="U287" s="156"/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6"/>
      <c r="AT287" s="10" t="s">
        <v>84</v>
      </c>
      <c r="AU287" s="10" t="s">
        <v>47</v>
      </c>
    </row>
    <row r="288" spans="1:65" s="5" customFormat="1" ht="22.9" customHeight="1" x14ac:dyDescent="0.2">
      <c r="B288" s="72"/>
      <c r="D288" s="73" t="s">
        <v>44</v>
      </c>
      <c r="E288" s="83" t="s">
        <v>390</v>
      </c>
      <c r="F288" s="83" t="s">
        <v>391</v>
      </c>
      <c r="I288" s="75"/>
      <c r="J288" s="84">
        <f>BK288</f>
        <v>1611.41</v>
      </c>
      <c r="L288" s="72"/>
      <c r="M288" s="77"/>
      <c r="N288" s="78"/>
      <c r="O288" s="78"/>
      <c r="P288" s="79">
        <f>SUM(P289:P307)</f>
        <v>0</v>
      </c>
      <c r="Q288" s="78"/>
      <c r="R288" s="79">
        <f>SUM(R289:R307)</f>
        <v>0</v>
      </c>
      <c r="S288" s="78"/>
      <c r="T288" s="80">
        <f>SUM(T289:T307)</f>
        <v>0</v>
      </c>
      <c r="AR288" s="73" t="s">
        <v>46</v>
      </c>
      <c r="AT288" s="81" t="s">
        <v>44</v>
      </c>
      <c r="AU288" s="81" t="s">
        <v>46</v>
      </c>
      <c r="AY288" s="73" t="s">
        <v>75</v>
      </c>
      <c r="BK288" s="82">
        <f>SUM(BK289:BK307)</f>
        <v>1611.41</v>
      </c>
    </row>
    <row r="289" spans="1:65" s="1" customFormat="1" ht="14.45" customHeight="1" x14ac:dyDescent="0.2">
      <c r="A289" s="156"/>
      <c r="B289" s="85"/>
      <c r="C289" s="86" t="s">
        <v>142</v>
      </c>
      <c r="D289" s="86" t="s">
        <v>78</v>
      </c>
      <c r="E289" s="87" t="s">
        <v>181</v>
      </c>
      <c r="F289" s="88" t="s">
        <v>182</v>
      </c>
      <c r="G289" s="89" t="s">
        <v>119</v>
      </c>
      <c r="H289" s="90">
        <v>4.3760000000000003</v>
      </c>
      <c r="I289" s="91">
        <v>40.477390926043419</v>
      </c>
      <c r="J289" s="92">
        <f>ROUND(I289*H289,2)</f>
        <v>177.13</v>
      </c>
      <c r="K289" s="88" t="s">
        <v>82</v>
      </c>
      <c r="L289" s="16"/>
      <c r="M289" s="93" t="s">
        <v>0</v>
      </c>
      <c r="N289" s="94" t="s">
        <v>27</v>
      </c>
      <c r="O289" s="27"/>
      <c r="P289" s="95">
        <f>O289*H289</f>
        <v>0</v>
      </c>
      <c r="Q289" s="95">
        <v>0</v>
      </c>
      <c r="R289" s="95">
        <f>Q289*H289</f>
        <v>0</v>
      </c>
      <c r="S289" s="95">
        <v>0</v>
      </c>
      <c r="T289" s="96">
        <f>S289*H289</f>
        <v>0</v>
      </c>
      <c r="U289" s="156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R289" s="97" t="s">
        <v>83</v>
      </c>
      <c r="AT289" s="97" t="s">
        <v>78</v>
      </c>
      <c r="AU289" s="97" t="s">
        <v>47</v>
      </c>
      <c r="AY289" s="10" t="s">
        <v>75</v>
      </c>
      <c r="BE289" s="98">
        <f>IF(N289="základní",J289,0)</f>
        <v>177.13</v>
      </c>
      <c r="BF289" s="98">
        <f>IF(N289="snížená",J289,0)</f>
        <v>0</v>
      </c>
      <c r="BG289" s="98">
        <f>IF(N289="zákl. přenesená",J289,0)</f>
        <v>0</v>
      </c>
      <c r="BH289" s="98">
        <f>IF(N289="sníž. přenesená",J289,0)</f>
        <v>0</v>
      </c>
      <c r="BI289" s="98">
        <f>IF(N289="nulová",J289,0)</f>
        <v>0</v>
      </c>
      <c r="BJ289" s="10" t="s">
        <v>46</v>
      </c>
      <c r="BK289" s="98">
        <f>ROUND(I289*H289,2)</f>
        <v>177.13</v>
      </c>
      <c r="BL289" s="10" t="s">
        <v>83</v>
      </c>
      <c r="BM289" s="97" t="s">
        <v>393</v>
      </c>
    </row>
    <row r="290" spans="1:65" s="1" customFormat="1" ht="19.5" x14ac:dyDescent="0.2">
      <c r="A290" s="156"/>
      <c r="B290" s="16"/>
      <c r="C290" s="156"/>
      <c r="D290" s="99" t="s">
        <v>84</v>
      </c>
      <c r="E290" s="156"/>
      <c r="F290" s="100" t="s">
        <v>183</v>
      </c>
      <c r="G290" s="156"/>
      <c r="H290" s="156"/>
      <c r="I290" s="101"/>
      <c r="J290" s="156"/>
      <c r="K290" s="156"/>
      <c r="L290" s="16"/>
      <c r="M290" s="102"/>
      <c r="N290" s="103"/>
      <c r="O290" s="27"/>
      <c r="P290" s="27"/>
      <c r="Q290" s="27"/>
      <c r="R290" s="27"/>
      <c r="S290" s="27"/>
      <c r="T290" s="28"/>
      <c r="U290" s="156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T290" s="10" t="s">
        <v>84</v>
      </c>
      <c r="AU290" s="10" t="s">
        <v>47</v>
      </c>
    </row>
    <row r="291" spans="1:65" s="7" customFormat="1" x14ac:dyDescent="0.2">
      <c r="B291" s="112"/>
      <c r="D291" s="99" t="s">
        <v>87</v>
      </c>
      <c r="E291" s="113" t="s">
        <v>0</v>
      </c>
      <c r="F291" s="114" t="s">
        <v>184</v>
      </c>
      <c r="H291" s="115">
        <f>5.47*0.35*2</f>
        <v>3.8289999999999997</v>
      </c>
      <c r="I291" s="116"/>
      <c r="L291" s="112"/>
      <c r="M291" s="117"/>
      <c r="N291" s="118"/>
      <c r="O291" s="118"/>
      <c r="P291" s="118"/>
      <c r="Q291" s="118"/>
      <c r="R291" s="118"/>
      <c r="S291" s="118"/>
      <c r="T291" s="119"/>
      <c r="AT291" s="113" t="s">
        <v>87</v>
      </c>
      <c r="AU291" s="113" t="s">
        <v>47</v>
      </c>
      <c r="AV291" s="7" t="s">
        <v>47</v>
      </c>
      <c r="AW291" s="7" t="s">
        <v>19</v>
      </c>
      <c r="AX291" s="7" t="s">
        <v>45</v>
      </c>
      <c r="AY291" s="113" t="s">
        <v>75</v>
      </c>
    </row>
    <row r="292" spans="1:65" s="7" customFormat="1" x14ac:dyDescent="0.2">
      <c r="B292" s="112"/>
      <c r="D292" s="99" t="s">
        <v>87</v>
      </c>
      <c r="E292" s="113" t="s">
        <v>0</v>
      </c>
      <c r="F292" s="114" t="s">
        <v>185</v>
      </c>
      <c r="H292" s="115">
        <f>5.47*0.05*2</f>
        <v>0.54700000000000004</v>
      </c>
      <c r="I292" s="116"/>
      <c r="L292" s="112"/>
      <c r="M292" s="117"/>
      <c r="N292" s="118"/>
      <c r="O292" s="118"/>
      <c r="P292" s="118"/>
      <c r="Q292" s="118"/>
      <c r="R292" s="118"/>
      <c r="S292" s="118"/>
      <c r="T292" s="119"/>
      <c r="AT292" s="113" t="s">
        <v>87</v>
      </c>
      <c r="AU292" s="113" t="s">
        <v>47</v>
      </c>
      <c r="AV292" s="7" t="s">
        <v>47</v>
      </c>
      <c r="AW292" s="7" t="s">
        <v>19</v>
      </c>
      <c r="AX292" s="7" t="s">
        <v>45</v>
      </c>
      <c r="AY292" s="113" t="s">
        <v>75</v>
      </c>
    </row>
    <row r="293" spans="1:65" s="9" customFormat="1" x14ac:dyDescent="0.2">
      <c r="B293" s="128"/>
      <c r="D293" s="99" t="s">
        <v>87</v>
      </c>
      <c r="E293" s="129" t="s">
        <v>0</v>
      </c>
      <c r="F293" s="130" t="s">
        <v>103</v>
      </c>
      <c r="H293" s="131">
        <f>H291+H292</f>
        <v>4.3759999999999994</v>
      </c>
      <c r="I293" s="132"/>
      <c r="L293" s="128"/>
      <c r="M293" s="133"/>
      <c r="N293" s="134"/>
      <c r="O293" s="134"/>
      <c r="P293" s="134"/>
      <c r="Q293" s="134"/>
      <c r="R293" s="134"/>
      <c r="S293" s="134"/>
      <c r="T293" s="135"/>
      <c r="AT293" s="129" t="s">
        <v>87</v>
      </c>
      <c r="AU293" s="129" t="s">
        <v>47</v>
      </c>
      <c r="AV293" s="9" t="s">
        <v>83</v>
      </c>
      <c r="AW293" s="9" t="s">
        <v>19</v>
      </c>
      <c r="AX293" s="9" t="s">
        <v>46</v>
      </c>
      <c r="AY293" s="129" t="s">
        <v>75</v>
      </c>
    </row>
    <row r="294" spans="1:65" s="1" customFormat="1" ht="24.2" customHeight="1" x14ac:dyDescent="0.2">
      <c r="A294" s="156"/>
      <c r="B294" s="85"/>
      <c r="C294" s="86" t="s">
        <v>363</v>
      </c>
      <c r="D294" s="86" t="s">
        <v>78</v>
      </c>
      <c r="E294" s="87" t="s">
        <v>186</v>
      </c>
      <c r="F294" s="88" t="s">
        <v>187</v>
      </c>
      <c r="G294" s="89" t="s">
        <v>119</v>
      </c>
      <c r="H294" s="90">
        <v>61.264000000000003</v>
      </c>
      <c r="I294" s="91">
        <v>3.1192340975392101</v>
      </c>
      <c r="J294" s="92">
        <f>ROUND(I294*H294,2)</f>
        <v>191.1</v>
      </c>
      <c r="K294" s="88" t="s">
        <v>82</v>
      </c>
      <c r="L294" s="16"/>
      <c r="M294" s="93" t="s">
        <v>0</v>
      </c>
      <c r="N294" s="94" t="s">
        <v>27</v>
      </c>
      <c r="O294" s="27"/>
      <c r="P294" s="95">
        <f>O294*H294</f>
        <v>0</v>
      </c>
      <c r="Q294" s="95">
        <v>0</v>
      </c>
      <c r="R294" s="95">
        <f>Q294*H294</f>
        <v>0</v>
      </c>
      <c r="S294" s="95">
        <v>0</v>
      </c>
      <c r="T294" s="96">
        <f>S294*H294</f>
        <v>0</v>
      </c>
      <c r="U294" s="156"/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/>
      <c r="AR294" s="97" t="s">
        <v>83</v>
      </c>
      <c r="AT294" s="97" t="s">
        <v>78</v>
      </c>
      <c r="AU294" s="97" t="s">
        <v>47</v>
      </c>
      <c r="AY294" s="10" t="s">
        <v>75</v>
      </c>
      <c r="BE294" s="98">
        <f>IF(N294="základní",J294,0)</f>
        <v>191.1</v>
      </c>
      <c r="BF294" s="98">
        <f>IF(N294="snížená",J294,0)</f>
        <v>0</v>
      </c>
      <c r="BG294" s="98">
        <f>IF(N294="zákl. přenesená",J294,0)</f>
        <v>0</v>
      </c>
      <c r="BH294" s="98">
        <f>IF(N294="sníž. přenesená",J294,0)</f>
        <v>0</v>
      </c>
      <c r="BI294" s="98">
        <f>IF(N294="nulová",J294,0)</f>
        <v>0</v>
      </c>
      <c r="BJ294" s="10" t="s">
        <v>46</v>
      </c>
      <c r="BK294" s="98">
        <f>ROUND(I294*H294,2)</f>
        <v>191.1</v>
      </c>
      <c r="BL294" s="10" t="s">
        <v>83</v>
      </c>
      <c r="BM294" s="97" t="s">
        <v>395</v>
      </c>
    </row>
    <row r="295" spans="1:65" s="1" customFormat="1" ht="29.25" x14ac:dyDescent="0.2">
      <c r="A295" s="156"/>
      <c r="B295" s="16"/>
      <c r="C295" s="156"/>
      <c r="D295" s="99" t="s">
        <v>84</v>
      </c>
      <c r="E295" s="156"/>
      <c r="F295" s="100" t="s">
        <v>188</v>
      </c>
      <c r="G295" s="156"/>
      <c r="H295" s="156"/>
      <c r="I295" s="101"/>
      <c r="J295" s="156"/>
      <c r="K295" s="156"/>
      <c r="L295" s="16"/>
      <c r="M295" s="102"/>
      <c r="N295" s="103"/>
      <c r="O295" s="27"/>
      <c r="P295" s="27"/>
      <c r="Q295" s="27"/>
      <c r="R295" s="27"/>
      <c r="S295" s="27"/>
      <c r="T295" s="28"/>
      <c r="U295" s="156"/>
      <c r="V295" s="156"/>
      <c r="W295" s="156"/>
      <c r="X295" s="156"/>
      <c r="Y295" s="156"/>
      <c r="Z295" s="156"/>
      <c r="AA295" s="156"/>
      <c r="AB295" s="156"/>
      <c r="AC295" s="156"/>
      <c r="AD295" s="156"/>
      <c r="AE295" s="156"/>
      <c r="AT295" s="10" t="s">
        <v>84</v>
      </c>
      <c r="AU295" s="10" t="s">
        <v>47</v>
      </c>
    </row>
    <row r="296" spans="1:65" s="7" customFormat="1" x14ac:dyDescent="0.2">
      <c r="B296" s="112"/>
      <c r="D296" s="99" t="s">
        <v>87</v>
      </c>
      <c r="E296" s="113" t="s">
        <v>0</v>
      </c>
      <c r="F296" s="114" t="s">
        <v>184</v>
      </c>
      <c r="H296" s="115">
        <v>3.8290000000000002</v>
      </c>
      <c r="I296" s="116"/>
      <c r="L296" s="112"/>
      <c r="M296" s="117"/>
      <c r="N296" s="118"/>
      <c r="O296" s="118"/>
      <c r="P296" s="118"/>
      <c r="Q296" s="118"/>
      <c r="R296" s="118"/>
      <c r="S296" s="118"/>
      <c r="T296" s="119"/>
      <c r="AT296" s="113" t="s">
        <v>87</v>
      </c>
      <c r="AU296" s="113" t="s">
        <v>47</v>
      </c>
      <c r="AV296" s="7" t="s">
        <v>47</v>
      </c>
      <c r="AW296" s="7" t="s">
        <v>19</v>
      </c>
      <c r="AX296" s="7" t="s">
        <v>45</v>
      </c>
      <c r="AY296" s="113" t="s">
        <v>75</v>
      </c>
    </row>
    <row r="297" spans="1:65" s="7" customFormat="1" x14ac:dyDescent="0.2">
      <c r="B297" s="112"/>
      <c r="D297" s="99" t="s">
        <v>87</v>
      </c>
      <c r="E297" s="113" t="s">
        <v>0</v>
      </c>
      <c r="F297" s="114" t="s">
        <v>185</v>
      </c>
      <c r="H297" s="115">
        <v>0.54700000000000004</v>
      </c>
      <c r="I297" s="116"/>
      <c r="L297" s="112"/>
      <c r="M297" s="117"/>
      <c r="N297" s="118"/>
      <c r="O297" s="118"/>
      <c r="P297" s="118"/>
      <c r="Q297" s="118"/>
      <c r="R297" s="118"/>
      <c r="S297" s="118"/>
      <c r="T297" s="119"/>
      <c r="AT297" s="113" t="s">
        <v>87</v>
      </c>
      <c r="AU297" s="113" t="s">
        <v>47</v>
      </c>
      <c r="AV297" s="7" t="s">
        <v>47</v>
      </c>
      <c r="AW297" s="7" t="s">
        <v>19</v>
      </c>
      <c r="AX297" s="7" t="s">
        <v>45</v>
      </c>
      <c r="AY297" s="113" t="s">
        <v>75</v>
      </c>
    </row>
    <row r="298" spans="1:65" s="9" customFormat="1" x14ac:dyDescent="0.2">
      <c r="B298" s="128"/>
      <c r="D298" s="99" t="s">
        <v>87</v>
      </c>
      <c r="E298" s="129" t="s">
        <v>0</v>
      </c>
      <c r="F298" s="130" t="s">
        <v>103</v>
      </c>
      <c r="H298" s="131">
        <f>H296+H297</f>
        <v>4.3760000000000003</v>
      </c>
      <c r="I298" s="132"/>
      <c r="L298" s="128"/>
      <c r="M298" s="133"/>
      <c r="N298" s="134"/>
      <c r="O298" s="134"/>
      <c r="P298" s="134"/>
      <c r="Q298" s="134"/>
      <c r="R298" s="134"/>
      <c r="S298" s="134"/>
      <c r="T298" s="135"/>
      <c r="AT298" s="129" t="s">
        <v>87</v>
      </c>
      <c r="AU298" s="129" t="s">
        <v>47</v>
      </c>
      <c r="AV298" s="9" t="s">
        <v>83</v>
      </c>
      <c r="AW298" s="9" t="s">
        <v>19</v>
      </c>
      <c r="AX298" s="9" t="s">
        <v>46</v>
      </c>
      <c r="AY298" s="129" t="s">
        <v>75</v>
      </c>
    </row>
    <row r="299" spans="1:65" s="7" customFormat="1" x14ac:dyDescent="0.2">
      <c r="B299" s="112"/>
      <c r="D299" s="99" t="s">
        <v>87</v>
      </c>
      <c r="F299" s="114" t="s">
        <v>467</v>
      </c>
      <c r="H299" s="115">
        <f>H298*14</f>
        <v>61.264000000000003</v>
      </c>
      <c r="I299" s="116"/>
      <c r="L299" s="112"/>
      <c r="M299" s="117"/>
      <c r="N299" s="118"/>
      <c r="O299" s="118"/>
      <c r="P299" s="118"/>
      <c r="Q299" s="118"/>
      <c r="R299" s="118"/>
      <c r="S299" s="118"/>
      <c r="T299" s="119"/>
      <c r="AT299" s="113" t="s">
        <v>87</v>
      </c>
      <c r="AU299" s="113" t="s">
        <v>47</v>
      </c>
      <c r="AV299" s="7" t="s">
        <v>47</v>
      </c>
      <c r="AW299" s="7" t="s">
        <v>1</v>
      </c>
      <c r="AX299" s="7" t="s">
        <v>46</v>
      </c>
      <c r="AY299" s="113" t="s">
        <v>75</v>
      </c>
    </row>
    <row r="300" spans="1:65" s="1" customFormat="1" ht="24.2" customHeight="1" x14ac:dyDescent="0.2">
      <c r="A300" s="156"/>
      <c r="B300" s="85"/>
      <c r="C300" s="86" t="s">
        <v>368</v>
      </c>
      <c r="D300" s="86" t="s">
        <v>78</v>
      </c>
      <c r="E300" s="87" t="s">
        <v>189</v>
      </c>
      <c r="F300" s="88" t="s">
        <v>190</v>
      </c>
      <c r="G300" s="89" t="s">
        <v>119</v>
      </c>
      <c r="H300" s="90">
        <v>4.3760000000000003</v>
      </c>
      <c r="I300" s="91">
        <v>155.98322812074767</v>
      </c>
      <c r="J300" s="92">
        <f>ROUND(I300*H300,2)</f>
        <v>682.58</v>
      </c>
      <c r="K300" s="88" t="s">
        <v>82</v>
      </c>
      <c r="L300" s="16"/>
      <c r="M300" s="93" t="s">
        <v>0</v>
      </c>
      <c r="N300" s="94" t="s">
        <v>27</v>
      </c>
      <c r="O300" s="27"/>
      <c r="P300" s="95">
        <f>O300*H300</f>
        <v>0</v>
      </c>
      <c r="Q300" s="95">
        <v>0</v>
      </c>
      <c r="R300" s="95">
        <f>Q300*H300</f>
        <v>0</v>
      </c>
      <c r="S300" s="95">
        <v>0</v>
      </c>
      <c r="T300" s="96">
        <f>S300*H300</f>
        <v>0</v>
      </c>
      <c r="U300" s="156"/>
      <c r="V300" s="156"/>
      <c r="W300" s="156"/>
      <c r="X300" s="156"/>
      <c r="Y300" s="156"/>
      <c r="Z300" s="156"/>
      <c r="AA300" s="156"/>
      <c r="AB300" s="156"/>
      <c r="AC300" s="156"/>
      <c r="AD300" s="156"/>
      <c r="AE300" s="156"/>
      <c r="AR300" s="97" t="s">
        <v>83</v>
      </c>
      <c r="AT300" s="97" t="s">
        <v>78</v>
      </c>
      <c r="AU300" s="97" t="s">
        <v>47</v>
      </c>
      <c r="AY300" s="10" t="s">
        <v>75</v>
      </c>
      <c r="BE300" s="98">
        <f>IF(N300="základní",J300,0)</f>
        <v>682.58</v>
      </c>
      <c r="BF300" s="98">
        <f>IF(N300="snížená",J300,0)</f>
        <v>0</v>
      </c>
      <c r="BG300" s="98">
        <f>IF(N300="zákl. přenesená",J300,0)</f>
        <v>0</v>
      </c>
      <c r="BH300" s="98">
        <f>IF(N300="sníž. přenesená",J300,0)</f>
        <v>0</v>
      </c>
      <c r="BI300" s="98">
        <f>IF(N300="nulová",J300,0)</f>
        <v>0</v>
      </c>
      <c r="BJ300" s="10" t="s">
        <v>46</v>
      </c>
      <c r="BK300" s="98">
        <f>ROUND(I300*H300,2)</f>
        <v>682.58</v>
      </c>
      <c r="BL300" s="10" t="s">
        <v>83</v>
      </c>
      <c r="BM300" s="97" t="s">
        <v>397</v>
      </c>
    </row>
    <row r="301" spans="1:65" s="1" customFormat="1" x14ac:dyDescent="0.2">
      <c r="A301" s="156"/>
      <c r="B301" s="16"/>
      <c r="C301" s="156"/>
      <c r="D301" s="99" t="s">
        <v>84</v>
      </c>
      <c r="E301" s="156"/>
      <c r="F301" s="100" t="s">
        <v>191</v>
      </c>
      <c r="G301" s="156"/>
      <c r="H301" s="156"/>
      <c r="I301" s="101"/>
      <c r="J301" s="156"/>
      <c r="K301" s="156"/>
      <c r="L301" s="16"/>
      <c r="M301" s="102"/>
      <c r="N301" s="103"/>
      <c r="O301" s="27"/>
      <c r="P301" s="27"/>
      <c r="Q301" s="27"/>
      <c r="R301" s="27"/>
      <c r="S301" s="27"/>
      <c r="T301" s="28"/>
      <c r="U301" s="156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T301" s="10" t="s">
        <v>84</v>
      </c>
      <c r="AU301" s="10" t="s">
        <v>47</v>
      </c>
    </row>
    <row r="302" spans="1:65" s="1" customFormat="1" ht="37.9" customHeight="1" x14ac:dyDescent="0.2">
      <c r="A302" s="156"/>
      <c r="B302" s="85"/>
      <c r="C302" s="86" t="s">
        <v>373</v>
      </c>
      <c r="D302" s="86" t="s">
        <v>78</v>
      </c>
      <c r="E302" s="87" t="s">
        <v>192</v>
      </c>
      <c r="F302" s="88" t="s">
        <v>120</v>
      </c>
      <c r="G302" s="89" t="s">
        <v>119</v>
      </c>
      <c r="H302" s="90">
        <v>3.8290000000000002</v>
      </c>
      <c r="I302" s="91">
        <v>110.6455721</v>
      </c>
      <c r="J302" s="92">
        <f>ROUND(I302*H302,2)</f>
        <v>423.66</v>
      </c>
      <c r="K302" s="88" t="s">
        <v>82</v>
      </c>
      <c r="L302" s="16"/>
      <c r="M302" s="93" t="s">
        <v>0</v>
      </c>
      <c r="N302" s="94" t="s">
        <v>27</v>
      </c>
      <c r="O302" s="27"/>
      <c r="P302" s="95">
        <f>O302*H302</f>
        <v>0</v>
      </c>
      <c r="Q302" s="95">
        <v>0</v>
      </c>
      <c r="R302" s="95">
        <f>Q302*H302</f>
        <v>0</v>
      </c>
      <c r="S302" s="95">
        <v>0</v>
      </c>
      <c r="T302" s="96">
        <f>S302*H302</f>
        <v>0</v>
      </c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R302" s="97" t="s">
        <v>83</v>
      </c>
      <c r="AT302" s="97" t="s">
        <v>78</v>
      </c>
      <c r="AU302" s="97" t="s">
        <v>47</v>
      </c>
      <c r="AY302" s="10" t="s">
        <v>75</v>
      </c>
      <c r="BE302" s="98">
        <f>IF(N302="základní",J302,0)</f>
        <v>423.66</v>
      </c>
      <c r="BF302" s="98">
        <f>IF(N302="snížená",J302,0)</f>
        <v>0</v>
      </c>
      <c r="BG302" s="98">
        <f>IF(N302="zákl. přenesená",J302,0)</f>
        <v>0</v>
      </c>
      <c r="BH302" s="98">
        <f>IF(N302="sníž. přenesená",J302,0)</f>
        <v>0</v>
      </c>
      <c r="BI302" s="98">
        <f>IF(N302="nulová",J302,0)</f>
        <v>0</v>
      </c>
      <c r="BJ302" s="10" t="s">
        <v>46</v>
      </c>
      <c r="BK302" s="98">
        <f>ROUND(I302*H302,2)</f>
        <v>423.66</v>
      </c>
      <c r="BL302" s="10" t="s">
        <v>83</v>
      </c>
      <c r="BM302" s="97" t="s">
        <v>399</v>
      </c>
    </row>
    <row r="303" spans="1:65" s="1" customFormat="1" ht="29.25" x14ac:dyDescent="0.2">
      <c r="A303" s="156"/>
      <c r="B303" s="16"/>
      <c r="C303" s="156"/>
      <c r="D303" s="99" t="s">
        <v>84</v>
      </c>
      <c r="E303" s="156"/>
      <c r="F303" s="100" t="s">
        <v>120</v>
      </c>
      <c r="G303" s="156"/>
      <c r="H303" s="156"/>
      <c r="I303" s="101"/>
      <c r="J303" s="156"/>
      <c r="K303" s="156"/>
      <c r="L303" s="16"/>
      <c r="M303" s="102"/>
      <c r="N303" s="103"/>
      <c r="O303" s="27"/>
      <c r="P303" s="27"/>
      <c r="Q303" s="27"/>
      <c r="R303" s="27"/>
      <c r="S303" s="27"/>
      <c r="T303" s="28"/>
      <c r="U303" s="156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T303" s="10" t="s">
        <v>84</v>
      </c>
      <c r="AU303" s="10" t="s">
        <v>47</v>
      </c>
    </row>
    <row r="304" spans="1:65" s="7" customFormat="1" x14ac:dyDescent="0.2">
      <c r="B304" s="112"/>
      <c r="D304" s="99" t="s">
        <v>87</v>
      </c>
      <c r="E304" s="113" t="s">
        <v>0</v>
      </c>
      <c r="F304" s="114" t="s">
        <v>184</v>
      </c>
      <c r="H304" s="115">
        <v>3.8290000000000002</v>
      </c>
      <c r="I304" s="116"/>
      <c r="L304" s="112"/>
      <c r="M304" s="117"/>
      <c r="N304" s="118"/>
      <c r="O304" s="118"/>
      <c r="P304" s="118"/>
      <c r="Q304" s="118"/>
      <c r="R304" s="118"/>
      <c r="S304" s="118"/>
      <c r="T304" s="119"/>
      <c r="AT304" s="113" t="s">
        <v>87</v>
      </c>
      <c r="AU304" s="113" t="s">
        <v>47</v>
      </c>
      <c r="AV304" s="7" t="s">
        <v>47</v>
      </c>
      <c r="AW304" s="7" t="s">
        <v>19</v>
      </c>
      <c r="AX304" s="7" t="s">
        <v>46</v>
      </c>
      <c r="AY304" s="113" t="s">
        <v>75</v>
      </c>
    </row>
    <row r="305" spans="1:65" s="1" customFormat="1" ht="37.9" customHeight="1" x14ac:dyDescent="0.2">
      <c r="A305" s="156"/>
      <c r="B305" s="85"/>
      <c r="C305" s="86" t="s">
        <v>379</v>
      </c>
      <c r="D305" s="86" t="s">
        <v>78</v>
      </c>
      <c r="E305" s="87" t="s">
        <v>193</v>
      </c>
      <c r="F305" s="88" t="s">
        <v>194</v>
      </c>
      <c r="G305" s="89" t="s">
        <v>119</v>
      </c>
      <c r="H305" s="90">
        <v>0.54700000000000004</v>
      </c>
      <c r="I305" s="91">
        <v>250.3439285</v>
      </c>
      <c r="J305" s="92">
        <f>ROUND(I305*H305,2)</f>
        <v>136.94</v>
      </c>
      <c r="K305" s="88" t="s">
        <v>82</v>
      </c>
      <c r="L305" s="16"/>
      <c r="M305" s="93" t="s">
        <v>0</v>
      </c>
      <c r="N305" s="94" t="s">
        <v>27</v>
      </c>
      <c r="O305" s="27"/>
      <c r="P305" s="95">
        <f>O305*H305</f>
        <v>0</v>
      </c>
      <c r="Q305" s="95">
        <v>0</v>
      </c>
      <c r="R305" s="95">
        <f>Q305*H305</f>
        <v>0</v>
      </c>
      <c r="S305" s="95">
        <v>0</v>
      </c>
      <c r="T305" s="96">
        <f>S305*H305</f>
        <v>0</v>
      </c>
      <c r="U305" s="156"/>
      <c r="V305" s="156"/>
      <c r="W305" s="156"/>
      <c r="X305" s="156"/>
      <c r="Y305" s="156"/>
      <c r="Z305" s="156"/>
      <c r="AA305" s="156"/>
      <c r="AB305" s="156"/>
      <c r="AC305" s="156"/>
      <c r="AD305" s="156"/>
      <c r="AE305" s="156"/>
      <c r="AR305" s="97" t="s">
        <v>83</v>
      </c>
      <c r="AT305" s="97" t="s">
        <v>78</v>
      </c>
      <c r="AU305" s="97" t="s">
        <v>47</v>
      </c>
      <c r="AY305" s="10" t="s">
        <v>75</v>
      </c>
      <c r="BE305" s="98">
        <f>IF(N305="základní",J305,0)</f>
        <v>136.94</v>
      </c>
      <c r="BF305" s="98">
        <f>IF(N305="snížená",J305,0)</f>
        <v>0</v>
      </c>
      <c r="BG305" s="98">
        <f>IF(N305="zákl. přenesená",J305,0)</f>
        <v>0</v>
      </c>
      <c r="BH305" s="98">
        <f>IF(N305="sníž. přenesená",J305,0)</f>
        <v>0</v>
      </c>
      <c r="BI305" s="98">
        <f>IF(N305="nulová",J305,0)</f>
        <v>0</v>
      </c>
      <c r="BJ305" s="10" t="s">
        <v>46</v>
      </c>
      <c r="BK305" s="98">
        <f>ROUND(I305*H305,2)</f>
        <v>136.94</v>
      </c>
      <c r="BL305" s="10" t="s">
        <v>83</v>
      </c>
      <c r="BM305" s="97" t="s">
        <v>401</v>
      </c>
    </row>
    <row r="306" spans="1:65" s="1" customFormat="1" ht="29.25" x14ac:dyDescent="0.2">
      <c r="A306" s="156"/>
      <c r="B306" s="16"/>
      <c r="C306" s="156"/>
      <c r="D306" s="99" t="s">
        <v>84</v>
      </c>
      <c r="E306" s="156"/>
      <c r="F306" s="100" t="s">
        <v>194</v>
      </c>
      <c r="G306" s="156"/>
      <c r="H306" s="156"/>
      <c r="I306" s="101"/>
      <c r="J306" s="156"/>
      <c r="K306" s="156"/>
      <c r="L306" s="16"/>
      <c r="M306" s="102"/>
      <c r="N306" s="103"/>
      <c r="O306" s="27"/>
      <c r="P306" s="27"/>
      <c r="Q306" s="27"/>
      <c r="R306" s="27"/>
      <c r="S306" s="27"/>
      <c r="T306" s="28"/>
      <c r="U306" s="156"/>
      <c r="V306" s="156"/>
      <c r="W306" s="156"/>
      <c r="X306" s="156"/>
      <c r="Y306" s="156"/>
      <c r="Z306" s="156"/>
      <c r="AA306" s="156"/>
      <c r="AB306" s="156"/>
      <c r="AC306" s="156"/>
      <c r="AD306" s="156"/>
      <c r="AE306" s="156"/>
      <c r="AT306" s="10" t="s">
        <v>84</v>
      </c>
      <c r="AU306" s="10" t="s">
        <v>47</v>
      </c>
    </row>
    <row r="307" spans="1:65" s="7" customFormat="1" x14ac:dyDescent="0.2">
      <c r="B307" s="112"/>
      <c r="D307" s="99" t="s">
        <v>87</v>
      </c>
      <c r="E307" s="113" t="s">
        <v>0</v>
      </c>
      <c r="F307" s="114" t="s">
        <v>185</v>
      </c>
      <c r="H307" s="115">
        <v>0.54700000000000004</v>
      </c>
      <c r="I307" s="116"/>
      <c r="L307" s="112"/>
      <c r="M307" s="117"/>
      <c r="N307" s="118"/>
      <c r="O307" s="118"/>
      <c r="P307" s="118"/>
      <c r="Q307" s="118"/>
      <c r="R307" s="118"/>
      <c r="S307" s="118"/>
      <c r="T307" s="119"/>
      <c r="AT307" s="113" t="s">
        <v>87</v>
      </c>
      <c r="AU307" s="113" t="s">
        <v>47</v>
      </c>
      <c r="AV307" s="7" t="s">
        <v>47</v>
      </c>
      <c r="AW307" s="7" t="s">
        <v>19</v>
      </c>
      <c r="AX307" s="7" t="s">
        <v>46</v>
      </c>
      <c r="AY307" s="113" t="s">
        <v>75</v>
      </c>
    </row>
    <row r="308" spans="1:65" s="5" customFormat="1" ht="22.9" customHeight="1" x14ac:dyDescent="0.2">
      <c r="B308" s="72"/>
      <c r="D308" s="73" t="s">
        <v>44</v>
      </c>
      <c r="E308" s="83" t="s">
        <v>136</v>
      </c>
      <c r="F308" s="83" t="s">
        <v>137</v>
      </c>
      <c r="I308" s="75"/>
      <c r="J308" s="84">
        <f>BK308</f>
        <v>361.91</v>
      </c>
      <c r="L308" s="72"/>
      <c r="M308" s="77"/>
      <c r="N308" s="78"/>
      <c r="O308" s="78"/>
      <c r="P308" s="79">
        <f>SUM(P309:P310)</f>
        <v>0</v>
      </c>
      <c r="Q308" s="78"/>
      <c r="R308" s="79">
        <f>SUM(R309:R310)</f>
        <v>0</v>
      </c>
      <c r="S308" s="78"/>
      <c r="T308" s="80">
        <f>SUM(T309:T310)</f>
        <v>0</v>
      </c>
      <c r="AR308" s="73" t="s">
        <v>46</v>
      </c>
      <c r="AT308" s="81" t="s">
        <v>44</v>
      </c>
      <c r="AU308" s="81" t="s">
        <v>46</v>
      </c>
      <c r="AY308" s="73" t="s">
        <v>75</v>
      </c>
      <c r="BK308" s="82">
        <f>SUM(BK309:BK310)</f>
        <v>361.91</v>
      </c>
    </row>
    <row r="309" spans="1:65" s="1" customFormat="1" ht="24.2" customHeight="1" x14ac:dyDescent="0.2">
      <c r="A309" s="156"/>
      <c r="B309" s="85"/>
      <c r="C309" s="86" t="s">
        <v>385</v>
      </c>
      <c r="D309" s="86" t="s">
        <v>78</v>
      </c>
      <c r="E309" s="87" t="s">
        <v>403</v>
      </c>
      <c r="F309" s="88" t="s">
        <v>404</v>
      </c>
      <c r="G309" s="89" t="s">
        <v>119</v>
      </c>
      <c r="H309" s="90">
        <v>0.4</v>
      </c>
      <c r="I309" s="91">
        <v>904.78117744148574</v>
      </c>
      <c r="J309" s="92">
        <f>ROUND(I309*H309,2)</f>
        <v>361.91</v>
      </c>
      <c r="K309" s="88" t="s">
        <v>82</v>
      </c>
      <c r="L309" s="16"/>
      <c r="M309" s="93" t="s">
        <v>0</v>
      </c>
      <c r="N309" s="94" t="s">
        <v>27</v>
      </c>
      <c r="O309" s="27"/>
      <c r="P309" s="95">
        <f>O309*H309</f>
        <v>0</v>
      </c>
      <c r="Q309" s="95">
        <v>0</v>
      </c>
      <c r="R309" s="95">
        <f>Q309*H309</f>
        <v>0</v>
      </c>
      <c r="S309" s="95">
        <v>0</v>
      </c>
      <c r="T309" s="96">
        <f>S309*H309</f>
        <v>0</v>
      </c>
      <c r="U309" s="156"/>
      <c r="V309" s="156"/>
      <c r="W309" s="156"/>
      <c r="X309" s="156"/>
      <c r="Y309" s="156"/>
      <c r="Z309" s="156"/>
      <c r="AA309" s="156"/>
      <c r="AB309" s="156"/>
      <c r="AC309" s="156"/>
      <c r="AD309" s="156"/>
      <c r="AE309" s="156"/>
      <c r="AR309" s="97" t="s">
        <v>83</v>
      </c>
      <c r="AT309" s="97" t="s">
        <v>78</v>
      </c>
      <c r="AU309" s="97" t="s">
        <v>47</v>
      </c>
      <c r="AY309" s="10" t="s">
        <v>75</v>
      </c>
      <c r="BE309" s="98">
        <f>IF(N309="základní",J309,0)</f>
        <v>361.91</v>
      </c>
      <c r="BF309" s="98">
        <f>IF(N309="snížená",J309,0)</f>
        <v>0</v>
      </c>
      <c r="BG309" s="98">
        <f>IF(N309="zákl. přenesená",J309,0)</f>
        <v>0</v>
      </c>
      <c r="BH309" s="98">
        <f>IF(N309="sníž. přenesená",J309,0)</f>
        <v>0</v>
      </c>
      <c r="BI309" s="98">
        <f>IF(N309="nulová",J309,0)</f>
        <v>0</v>
      </c>
      <c r="BJ309" s="10" t="s">
        <v>46</v>
      </c>
      <c r="BK309" s="98">
        <f>ROUND(I309*H309,2)</f>
        <v>361.91</v>
      </c>
      <c r="BL309" s="10" t="s">
        <v>83</v>
      </c>
      <c r="BM309" s="97" t="s">
        <v>405</v>
      </c>
    </row>
    <row r="310" spans="1:65" s="1" customFormat="1" ht="29.25" x14ac:dyDescent="0.2">
      <c r="A310" s="156"/>
      <c r="B310" s="16"/>
      <c r="C310" s="156"/>
      <c r="D310" s="99" t="s">
        <v>84</v>
      </c>
      <c r="E310" s="156"/>
      <c r="F310" s="100" t="s">
        <v>406</v>
      </c>
      <c r="G310" s="156"/>
      <c r="H310" s="156"/>
      <c r="I310" s="101"/>
      <c r="J310" s="156"/>
      <c r="K310" s="156"/>
      <c r="L310" s="16"/>
      <c r="M310" s="102"/>
      <c r="N310" s="103"/>
      <c r="O310" s="27"/>
      <c r="P310" s="27"/>
      <c r="Q310" s="27"/>
      <c r="R310" s="27"/>
      <c r="S310" s="27"/>
      <c r="T310" s="28"/>
      <c r="U310" s="156"/>
      <c r="V310" s="156"/>
      <c r="W310" s="156"/>
      <c r="X310" s="156"/>
      <c r="Y310" s="156"/>
      <c r="Z310" s="156"/>
      <c r="AA310" s="156"/>
      <c r="AB310" s="156"/>
      <c r="AC310" s="156"/>
      <c r="AD310" s="156"/>
      <c r="AE310" s="156"/>
      <c r="AT310" s="10" t="s">
        <v>84</v>
      </c>
      <c r="AU310" s="10" t="s">
        <v>47</v>
      </c>
    </row>
    <row r="311" spans="1:65" s="1" customFormat="1" ht="6.95" customHeight="1" x14ac:dyDescent="0.2">
      <c r="A311" s="156"/>
      <c r="B311" s="22"/>
      <c r="C311" s="23"/>
      <c r="D311" s="23"/>
      <c r="E311" s="23"/>
      <c r="F311" s="23"/>
      <c r="G311" s="23"/>
      <c r="H311" s="23"/>
      <c r="I311" s="23"/>
      <c r="J311" s="23"/>
      <c r="K311" s="23"/>
      <c r="L311" s="16"/>
      <c r="M311" s="156"/>
      <c r="O311" s="156"/>
      <c r="P311" s="156"/>
      <c r="Q311" s="156"/>
      <c r="R311" s="156"/>
      <c r="S311" s="156"/>
      <c r="T311" s="156"/>
      <c r="U311" s="156"/>
      <c r="V311" s="156"/>
      <c r="W311" s="156"/>
      <c r="X311" s="156"/>
      <c r="Y311" s="156"/>
      <c r="Z311" s="156"/>
      <c r="AA311" s="156"/>
      <c r="AB311" s="156"/>
      <c r="AC311" s="156"/>
      <c r="AD311" s="156"/>
      <c r="AE311" s="156"/>
    </row>
  </sheetData>
  <autoFilter ref="C130:K310"/>
  <mergeCells count="15">
    <mergeCell ref="E22:H22"/>
    <mergeCell ref="L2:V2"/>
    <mergeCell ref="E7:H7"/>
    <mergeCell ref="E9:H9"/>
    <mergeCell ref="E11:H11"/>
    <mergeCell ref="E13:H13"/>
    <mergeCell ref="E119:H119"/>
    <mergeCell ref="E121:H121"/>
    <mergeCell ref="E123:H123"/>
    <mergeCell ref="E31:H31"/>
    <mergeCell ref="E84:H84"/>
    <mergeCell ref="E86:H86"/>
    <mergeCell ref="E88:H88"/>
    <mergeCell ref="E90:H90"/>
    <mergeCell ref="E117:H117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4"/>
  <sheetViews>
    <sheetView windowProtection="1" showGridLines="0" topLeftCell="A110" workbookViewId="0">
      <selection activeCell="J132" sqref="J132"/>
    </sheetView>
  </sheetViews>
  <sheetFormatPr defaultRowHeight="11.25" x14ac:dyDescent="0.2"/>
  <cols>
    <col min="1" max="1" width="8.33203125" style="146" customWidth="1"/>
    <col min="2" max="2" width="1.1640625" style="146" customWidth="1"/>
    <col min="3" max="3" width="4.1640625" style="146" customWidth="1"/>
    <col min="4" max="4" width="4.33203125" style="146" customWidth="1"/>
    <col min="5" max="5" width="17.1640625" style="146" customWidth="1"/>
    <col min="6" max="6" width="50.83203125" style="146" customWidth="1"/>
    <col min="7" max="7" width="7.5" style="146" customWidth="1"/>
    <col min="8" max="8" width="11.5" style="146" customWidth="1"/>
    <col min="9" max="11" width="20.1640625" style="146" customWidth="1"/>
    <col min="12" max="12" width="9.33203125" style="146" customWidth="1"/>
    <col min="13" max="13" width="10.83203125" style="146" hidden="1" customWidth="1"/>
    <col min="14" max="14" width="9.33203125" style="146"/>
    <col min="15" max="20" width="14.1640625" style="146" hidden="1" customWidth="1"/>
    <col min="21" max="21" width="16.33203125" style="146" hidden="1" customWidth="1"/>
    <col min="22" max="22" width="12.33203125" style="146" customWidth="1"/>
    <col min="23" max="23" width="16.33203125" style="146" customWidth="1"/>
    <col min="24" max="24" width="12.33203125" style="146" customWidth="1"/>
    <col min="25" max="25" width="15" style="146" customWidth="1"/>
    <col min="26" max="26" width="11" style="146" customWidth="1"/>
    <col min="27" max="27" width="15" style="146" customWidth="1"/>
    <col min="28" max="28" width="16.33203125" style="146" customWidth="1"/>
    <col min="29" max="29" width="11" style="146" customWidth="1"/>
    <col min="30" max="30" width="15" style="146" customWidth="1"/>
    <col min="31" max="31" width="16.33203125" style="146" customWidth="1"/>
    <col min="32" max="16384" width="9.33203125" style="146"/>
  </cols>
  <sheetData>
    <row r="2" spans="1:46" ht="36.950000000000003" customHeight="1" x14ac:dyDescent="0.2">
      <c r="L2" s="204" t="s">
        <v>2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0" t="s">
        <v>199</v>
      </c>
    </row>
    <row r="3" spans="1:46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47</v>
      </c>
    </row>
    <row r="4" spans="1:46" ht="24.95" customHeight="1" x14ac:dyDescent="0.2">
      <c r="B4" s="13"/>
      <c r="D4" s="14" t="s">
        <v>49</v>
      </c>
      <c r="L4" s="13"/>
      <c r="M4" s="36" t="s">
        <v>5</v>
      </c>
      <c r="AT4" s="10" t="s">
        <v>1</v>
      </c>
    </row>
    <row r="5" spans="1:46" ht="6.95" customHeight="1" x14ac:dyDescent="0.2">
      <c r="B5" s="13"/>
      <c r="L5" s="13"/>
    </row>
    <row r="6" spans="1:46" ht="12" customHeight="1" x14ac:dyDescent="0.2">
      <c r="B6" s="13"/>
      <c r="D6" s="154" t="s">
        <v>6</v>
      </c>
      <c r="L6" s="13"/>
    </row>
    <row r="7" spans="1:46" ht="16.5" customHeight="1" x14ac:dyDescent="0.2">
      <c r="B7" s="13"/>
      <c r="E7" s="195" t="e">
        <f>#REF!</f>
        <v>#REF!</v>
      </c>
      <c r="F7" s="201"/>
      <c r="G7" s="201"/>
      <c r="H7" s="201"/>
      <c r="L7" s="13"/>
    </row>
    <row r="8" spans="1:46" ht="12.75" x14ac:dyDescent="0.2">
      <c r="B8" s="13"/>
      <c r="D8" s="154" t="s">
        <v>50</v>
      </c>
      <c r="L8" s="13"/>
    </row>
    <row r="9" spans="1:46" ht="16.5" customHeight="1" x14ac:dyDescent="0.2">
      <c r="B9" s="13"/>
      <c r="E9" s="195" t="s">
        <v>51</v>
      </c>
      <c r="F9" s="196"/>
      <c r="G9" s="196"/>
      <c r="H9" s="196"/>
      <c r="L9" s="13"/>
    </row>
    <row r="10" spans="1:46" ht="12" customHeight="1" x14ac:dyDescent="0.2">
      <c r="B10" s="13"/>
      <c r="D10" s="154" t="s">
        <v>52</v>
      </c>
      <c r="L10" s="13"/>
    </row>
    <row r="11" spans="1:46" s="1" customFormat="1" ht="16.5" customHeight="1" x14ac:dyDescent="0.2">
      <c r="A11" s="156"/>
      <c r="B11" s="16"/>
      <c r="C11" s="156"/>
      <c r="D11" s="156"/>
      <c r="E11" s="197" t="s">
        <v>201</v>
      </c>
      <c r="F11" s="198"/>
      <c r="G11" s="198"/>
      <c r="H11" s="198"/>
      <c r="I11" s="156"/>
      <c r="J11" s="156"/>
      <c r="K11" s="156"/>
      <c r="L11" s="17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</row>
    <row r="12" spans="1:46" s="1" customFormat="1" ht="12" customHeight="1" x14ac:dyDescent="0.2">
      <c r="A12" s="156"/>
      <c r="B12" s="16"/>
      <c r="C12" s="156"/>
      <c r="D12" s="154" t="s">
        <v>202</v>
      </c>
      <c r="E12" s="156"/>
      <c r="F12" s="156"/>
      <c r="G12" s="156"/>
      <c r="H12" s="156"/>
      <c r="I12" s="156"/>
      <c r="J12" s="156"/>
      <c r="K12" s="156"/>
      <c r="L12" s="17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</row>
    <row r="13" spans="1:46" s="1" customFormat="1" ht="45.75" customHeight="1" x14ac:dyDescent="0.2">
      <c r="A13" s="156"/>
      <c r="B13" s="16"/>
      <c r="C13" s="156"/>
      <c r="D13" s="156"/>
      <c r="E13" s="199" t="s">
        <v>514</v>
      </c>
      <c r="F13" s="198"/>
      <c r="G13" s="198"/>
      <c r="H13" s="198"/>
      <c r="I13" s="156"/>
      <c r="J13" s="156"/>
      <c r="K13" s="156"/>
      <c r="L13" s="17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</row>
    <row r="14" spans="1:46" s="1" customFormat="1" x14ac:dyDescent="0.2">
      <c r="A14" s="156"/>
      <c r="B14" s="16"/>
      <c r="C14" s="156"/>
      <c r="D14" s="156"/>
      <c r="E14" s="156"/>
      <c r="F14" s="156"/>
      <c r="G14" s="156"/>
      <c r="H14" s="156"/>
      <c r="I14" s="156"/>
      <c r="J14" s="156"/>
      <c r="K14" s="156"/>
      <c r="L14" s="17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</row>
    <row r="15" spans="1:46" s="1" customFormat="1" ht="12" customHeight="1" x14ac:dyDescent="0.2">
      <c r="A15" s="156"/>
      <c r="B15" s="16"/>
      <c r="C15" s="156"/>
      <c r="D15" s="154" t="s">
        <v>7</v>
      </c>
      <c r="E15" s="156"/>
      <c r="F15" s="147" t="s">
        <v>0</v>
      </c>
      <c r="G15" s="156"/>
      <c r="H15" s="156"/>
      <c r="I15" s="154" t="s">
        <v>8</v>
      </c>
      <c r="J15" s="147" t="s">
        <v>203</v>
      </c>
      <c r="K15" s="156"/>
      <c r="L15" s="17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</row>
    <row r="16" spans="1:46" s="1" customFormat="1" ht="12" customHeight="1" x14ac:dyDescent="0.2">
      <c r="A16" s="156"/>
      <c r="B16" s="16"/>
      <c r="C16" s="156"/>
      <c r="D16" s="154" t="s">
        <v>9</v>
      </c>
      <c r="E16" s="156"/>
      <c r="F16" s="147" t="s">
        <v>10</v>
      </c>
      <c r="G16" s="156"/>
      <c r="H16" s="156"/>
      <c r="I16" s="154" t="s">
        <v>11</v>
      </c>
      <c r="J16" s="153" t="e">
        <f>#REF!</f>
        <v>#REF!</v>
      </c>
      <c r="K16" s="156"/>
      <c r="L16" s="17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</row>
    <row r="17" spans="1:31" s="1" customFormat="1" ht="21.75" customHeight="1" x14ac:dyDescent="0.2">
      <c r="A17" s="156"/>
      <c r="B17" s="16"/>
      <c r="C17" s="156"/>
      <c r="D17" s="15" t="s">
        <v>204</v>
      </c>
      <c r="E17" s="156"/>
      <c r="F17" s="166" t="s">
        <v>205</v>
      </c>
      <c r="G17" s="156"/>
      <c r="H17" s="156"/>
      <c r="I17" s="156"/>
      <c r="J17" s="156"/>
      <c r="K17" s="156"/>
      <c r="L17" s="17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</row>
    <row r="18" spans="1:31" s="1" customFormat="1" ht="12" customHeight="1" x14ac:dyDescent="0.2">
      <c r="A18" s="156"/>
      <c r="B18" s="16"/>
      <c r="C18" s="156"/>
      <c r="D18" s="154" t="s">
        <v>12</v>
      </c>
      <c r="E18" s="156"/>
      <c r="F18" s="156"/>
      <c r="G18" s="156"/>
      <c r="H18" s="156"/>
      <c r="I18" s="154" t="s">
        <v>13</v>
      </c>
      <c r="J18" s="147" t="s">
        <v>0</v>
      </c>
      <c r="K18" s="156"/>
      <c r="L18" s="17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</row>
    <row r="19" spans="1:31" s="1" customFormat="1" ht="18" customHeight="1" x14ac:dyDescent="0.2">
      <c r="A19" s="156"/>
      <c r="B19" s="16"/>
      <c r="C19" s="156"/>
      <c r="D19" s="156"/>
      <c r="E19" s="147" t="s">
        <v>14</v>
      </c>
      <c r="F19" s="156"/>
      <c r="G19" s="156"/>
      <c r="H19" s="156"/>
      <c r="I19" s="154" t="s">
        <v>15</v>
      </c>
      <c r="J19" s="147" t="s">
        <v>0</v>
      </c>
      <c r="K19" s="156"/>
      <c r="L19" s="17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</row>
    <row r="20" spans="1:31" s="1" customFormat="1" ht="6.95" customHeight="1" x14ac:dyDescent="0.2">
      <c r="A20" s="156"/>
      <c r="B20" s="16"/>
      <c r="C20" s="156"/>
      <c r="D20" s="156"/>
      <c r="E20" s="156"/>
      <c r="F20" s="156"/>
      <c r="G20" s="156"/>
      <c r="H20" s="156"/>
      <c r="I20" s="156"/>
      <c r="J20" s="156"/>
      <c r="K20" s="156"/>
      <c r="L20" s="17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</row>
    <row r="21" spans="1:31" s="1" customFormat="1" ht="12" customHeight="1" x14ac:dyDescent="0.2">
      <c r="A21" s="156"/>
      <c r="B21" s="16"/>
      <c r="C21" s="156"/>
      <c r="D21" s="154" t="s">
        <v>16</v>
      </c>
      <c r="E21" s="156"/>
      <c r="F21" s="156"/>
      <c r="G21" s="156"/>
      <c r="H21" s="156"/>
      <c r="I21" s="154" t="s">
        <v>13</v>
      </c>
      <c r="J21" s="157" t="e">
        <f>#REF!</f>
        <v>#REF!</v>
      </c>
      <c r="K21" s="156"/>
      <c r="L21" s="17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</row>
    <row r="22" spans="1:31" s="1" customFormat="1" ht="18" customHeight="1" x14ac:dyDescent="0.2">
      <c r="A22" s="156"/>
      <c r="B22" s="16"/>
      <c r="C22" s="156"/>
      <c r="D22" s="156"/>
      <c r="E22" s="202" t="e">
        <f>#REF!</f>
        <v>#REF!</v>
      </c>
      <c r="F22" s="203"/>
      <c r="G22" s="203"/>
      <c r="H22" s="203"/>
      <c r="I22" s="154" t="s">
        <v>15</v>
      </c>
      <c r="J22" s="157" t="e">
        <f>#REF!</f>
        <v>#REF!</v>
      </c>
      <c r="K22" s="156"/>
      <c r="L22" s="17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</row>
    <row r="23" spans="1:31" s="1" customFormat="1" ht="6.95" customHeight="1" x14ac:dyDescent="0.2">
      <c r="A23" s="156"/>
      <c r="B23" s="16"/>
      <c r="C23" s="156"/>
      <c r="D23" s="156"/>
      <c r="E23" s="156"/>
      <c r="F23" s="156"/>
      <c r="G23" s="156"/>
      <c r="H23" s="156"/>
      <c r="I23" s="156"/>
      <c r="J23" s="156"/>
      <c r="K23" s="156"/>
      <c r="L23" s="17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</row>
    <row r="24" spans="1:31" s="1" customFormat="1" ht="12" customHeight="1" x14ac:dyDescent="0.2">
      <c r="A24" s="156"/>
      <c r="B24" s="16"/>
      <c r="C24" s="156"/>
      <c r="D24" s="154" t="s">
        <v>17</v>
      </c>
      <c r="E24" s="156"/>
      <c r="F24" s="156"/>
      <c r="G24" s="156"/>
      <c r="H24" s="156"/>
      <c r="I24" s="154" t="s">
        <v>13</v>
      </c>
      <c r="J24" s="147" t="s">
        <v>0</v>
      </c>
      <c r="K24" s="156"/>
      <c r="L24" s="17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</row>
    <row r="25" spans="1:31" s="1" customFormat="1" ht="18" customHeight="1" x14ac:dyDescent="0.2">
      <c r="A25" s="156"/>
      <c r="B25" s="16"/>
      <c r="C25" s="156"/>
      <c r="D25" s="156"/>
      <c r="E25" s="147" t="s">
        <v>18</v>
      </c>
      <c r="F25" s="156"/>
      <c r="G25" s="156"/>
      <c r="H25" s="156"/>
      <c r="I25" s="154" t="s">
        <v>15</v>
      </c>
      <c r="J25" s="147" t="s">
        <v>0</v>
      </c>
      <c r="K25" s="156"/>
      <c r="L25" s="17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pans="1:31" s="1" customFormat="1" ht="6.95" customHeight="1" x14ac:dyDescent="0.2">
      <c r="A26" s="156"/>
      <c r="B26" s="16"/>
      <c r="C26" s="156"/>
      <c r="D26" s="156"/>
      <c r="E26" s="156"/>
      <c r="F26" s="156"/>
      <c r="G26" s="156"/>
      <c r="H26" s="156"/>
      <c r="I26" s="156"/>
      <c r="J26" s="156"/>
      <c r="K26" s="156"/>
      <c r="L26" s="17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</row>
    <row r="27" spans="1:31" s="1" customFormat="1" ht="12" customHeight="1" x14ac:dyDescent="0.2">
      <c r="A27" s="156"/>
      <c r="B27" s="16"/>
      <c r="C27" s="156"/>
      <c r="D27" s="154" t="s">
        <v>20</v>
      </c>
      <c r="E27" s="156"/>
      <c r="F27" s="156"/>
      <c r="G27" s="156"/>
      <c r="H27" s="156"/>
      <c r="I27" s="154" t="s">
        <v>13</v>
      </c>
      <c r="J27" s="147" t="e">
        <f>IF(#REF!="","",#REF!)</f>
        <v>#REF!</v>
      </c>
      <c r="K27" s="156"/>
      <c r="L27" s="17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pans="1:31" s="1" customFormat="1" ht="18" customHeight="1" x14ac:dyDescent="0.2">
      <c r="A28" s="156"/>
      <c r="B28" s="16"/>
      <c r="C28" s="156"/>
      <c r="D28" s="156"/>
      <c r="E28" s="147" t="e">
        <f>IF(#REF!="","",#REF!)</f>
        <v>#REF!</v>
      </c>
      <c r="F28" s="156"/>
      <c r="G28" s="156"/>
      <c r="H28" s="156"/>
      <c r="I28" s="154" t="s">
        <v>15</v>
      </c>
      <c r="J28" s="147" t="e">
        <f>IF(#REF!="","",#REF!)</f>
        <v>#REF!</v>
      </c>
      <c r="K28" s="156"/>
      <c r="L28" s="17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</row>
    <row r="29" spans="1:31" s="1" customFormat="1" ht="6.95" customHeight="1" x14ac:dyDescent="0.2">
      <c r="A29" s="156"/>
      <c r="B29" s="16"/>
      <c r="C29" s="156"/>
      <c r="D29" s="156"/>
      <c r="E29" s="156"/>
      <c r="F29" s="156"/>
      <c r="G29" s="156"/>
      <c r="H29" s="156"/>
      <c r="I29" s="156"/>
      <c r="J29" s="156"/>
      <c r="K29" s="156"/>
      <c r="L29" s="17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pans="1:31" s="1" customFormat="1" ht="12" customHeight="1" x14ac:dyDescent="0.2">
      <c r="A30" s="156"/>
      <c r="B30" s="16"/>
      <c r="C30" s="156"/>
      <c r="D30" s="154" t="s">
        <v>21</v>
      </c>
      <c r="E30" s="156"/>
      <c r="F30" s="156"/>
      <c r="G30" s="156"/>
      <c r="H30" s="156"/>
      <c r="I30" s="156"/>
      <c r="J30" s="156"/>
      <c r="K30" s="156"/>
      <c r="L30" s="17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</row>
    <row r="31" spans="1:31" s="2" customFormat="1" ht="16.5" customHeight="1" x14ac:dyDescent="0.2">
      <c r="A31" s="37"/>
      <c r="B31" s="38"/>
      <c r="C31" s="37"/>
      <c r="D31" s="37"/>
      <c r="E31" s="200" t="s">
        <v>0</v>
      </c>
      <c r="F31" s="200"/>
      <c r="G31" s="200"/>
      <c r="H31" s="200"/>
      <c r="I31" s="37"/>
      <c r="J31" s="37"/>
      <c r="K31" s="37"/>
      <c r="L31" s="3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1" customFormat="1" ht="6.95" customHeight="1" x14ac:dyDescent="0.2">
      <c r="A32" s="156"/>
      <c r="B32" s="16"/>
      <c r="C32" s="156"/>
      <c r="D32" s="156"/>
      <c r="E32" s="156"/>
      <c r="F32" s="156"/>
      <c r="G32" s="156"/>
      <c r="H32" s="156"/>
      <c r="I32" s="156"/>
      <c r="J32" s="156"/>
      <c r="K32" s="156"/>
      <c r="L32" s="17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</row>
    <row r="33" spans="1:31" s="1" customFormat="1" ht="6.95" customHeight="1" x14ac:dyDescent="0.2">
      <c r="A33" s="156"/>
      <c r="B33" s="16"/>
      <c r="C33" s="156"/>
      <c r="D33" s="34"/>
      <c r="E33" s="34"/>
      <c r="F33" s="34"/>
      <c r="G33" s="34"/>
      <c r="H33" s="34"/>
      <c r="I33" s="34"/>
      <c r="J33" s="34"/>
      <c r="K33" s="34"/>
      <c r="L33" s="17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</row>
    <row r="34" spans="1:31" s="1" customFormat="1" ht="25.35" customHeight="1" x14ac:dyDescent="0.2">
      <c r="A34" s="156"/>
      <c r="B34" s="16"/>
      <c r="C34" s="156"/>
      <c r="D34" s="40" t="s">
        <v>22</v>
      </c>
      <c r="E34" s="156"/>
      <c r="F34" s="156"/>
      <c r="G34" s="156"/>
      <c r="H34" s="156"/>
      <c r="I34" s="156"/>
      <c r="J34" s="152">
        <f>ROUND(J132, 2)</f>
        <v>366725.14</v>
      </c>
      <c r="K34" s="156"/>
      <c r="L34" s="17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</row>
    <row r="35" spans="1:31" s="1" customFormat="1" ht="6.95" customHeight="1" x14ac:dyDescent="0.2">
      <c r="A35" s="156"/>
      <c r="B35" s="16"/>
      <c r="C35" s="156"/>
      <c r="D35" s="34"/>
      <c r="E35" s="34"/>
      <c r="F35" s="34"/>
      <c r="G35" s="34"/>
      <c r="H35" s="34"/>
      <c r="I35" s="34"/>
      <c r="J35" s="34"/>
      <c r="K35" s="34"/>
      <c r="L35" s="17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</row>
    <row r="36" spans="1:31" s="1" customFormat="1" ht="14.45" customHeight="1" x14ac:dyDescent="0.2">
      <c r="A36" s="156"/>
      <c r="B36" s="16"/>
      <c r="C36" s="156"/>
      <c r="D36" s="156"/>
      <c r="E36" s="156"/>
      <c r="F36" s="150" t="s">
        <v>24</v>
      </c>
      <c r="G36" s="156"/>
      <c r="H36" s="156"/>
      <c r="I36" s="150" t="s">
        <v>23</v>
      </c>
      <c r="J36" s="150" t="s">
        <v>25</v>
      </c>
      <c r="K36" s="156"/>
      <c r="L36" s="17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</row>
    <row r="37" spans="1:31" s="1" customFormat="1" ht="14.45" customHeight="1" x14ac:dyDescent="0.2">
      <c r="A37" s="156"/>
      <c r="B37" s="16"/>
      <c r="C37" s="156"/>
      <c r="D37" s="155" t="s">
        <v>26</v>
      </c>
      <c r="E37" s="154" t="s">
        <v>27</v>
      </c>
      <c r="F37" s="41">
        <f>ROUND((SUM(BE132:BE323)),  2)</f>
        <v>366725.14</v>
      </c>
      <c r="G37" s="156"/>
      <c r="H37" s="156"/>
      <c r="I37" s="42">
        <v>0.21</v>
      </c>
      <c r="J37" s="41">
        <f>ROUND(((SUM(BE132:BE323))*I37),  2)</f>
        <v>77012.28</v>
      </c>
      <c r="K37" s="156"/>
      <c r="L37" s="17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</row>
    <row r="38" spans="1:31" s="1" customFormat="1" ht="14.45" customHeight="1" x14ac:dyDescent="0.2">
      <c r="A38" s="156"/>
      <c r="B38" s="16"/>
      <c r="C38" s="156"/>
      <c r="D38" s="156"/>
      <c r="E38" s="154" t="s">
        <v>28</v>
      </c>
      <c r="F38" s="41">
        <f>ROUND((SUM(BF132:BF323)),  2)</f>
        <v>0</v>
      </c>
      <c r="G38" s="156"/>
      <c r="H38" s="156"/>
      <c r="I38" s="42">
        <v>0.15</v>
      </c>
      <c r="J38" s="41">
        <f>ROUND(((SUM(BF132:BF323))*I38),  2)</f>
        <v>0</v>
      </c>
      <c r="K38" s="156"/>
      <c r="L38" s="17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</row>
    <row r="39" spans="1:31" s="1" customFormat="1" ht="14.45" hidden="1" customHeight="1" x14ac:dyDescent="0.2">
      <c r="A39" s="156"/>
      <c r="B39" s="16"/>
      <c r="C39" s="156"/>
      <c r="D39" s="156"/>
      <c r="E39" s="154" t="s">
        <v>29</v>
      </c>
      <c r="F39" s="41">
        <f>ROUND((SUM(BG132:BG323)),  2)</f>
        <v>0</v>
      </c>
      <c r="G39" s="156"/>
      <c r="H39" s="156"/>
      <c r="I39" s="42">
        <v>0.21</v>
      </c>
      <c r="J39" s="41">
        <f>0</f>
        <v>0</v>
      </c>
      <c r="K39" s="156"/>
      <c r="L39" s="17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</row>
    <row r="40" spans="1:31" s="1" customFormat="1" ht="14.45" hidden="1" customHeight="1" x14ac:dyDescent="0.2">
      <c r="A40" s="156"/>
      <c r="B40" s="16"/>
      <c r="C40" s="156"/>
      <c r="D40" s="156"/>
      <c r="E40" s="154" t="s">
        <v>30</v>
      </c>
      <c r="F40" s="41">
        <f>ROUND((SUM(BH132:BH323)),  2)</f>
        <v>0</v>
      </c>
      <c r="G40" s="156"/>
      <c r="H40" s="156"/>
      <c r="I40" s="42">
        <v>0.15</v>
      </c>
      <c r="J40" s="41">
        <f>0</f>
        <v>0</v>
      </c>
      <c r="K40" s="156"/>
      <c r="L40" s="17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</row>
    <row r="41" spans="1:31" s="1" customFormat="1" ht="14.45" hidden="1" customHeight="1" x14ac:dyDescent="0.2">
      <c r="A41" s="156"/>
      <c r="B41" s="16"/>
      <c r="C41" s="156"/>
      <c r="D41" s="156"/>
      <c r="E41" s="154" t="s">
        <v>31</v>
      </c>
      <c r="F41" s="41">
        <f>ROUND((SUM(BI132:BI323)),  2)</f>
        <v>0</v>
      </c>
      <c r="G41" s="156"/>
      <c r="H41" s="156"/>
      <c r="I41" s="42">
        <v>0</v>
      </c>
      <c r="J41" s="41">
        <f>0</f>
        <v>0</v>
      </c>
      <c r="K41" s="156"/>
      <c r="L41" s="17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</row>
    <row r="42" spans="1:31" s="1" customFormat="1" ht="6.95" customHeight="1" x14ac:dyDescent="0.2">
      <c r="A42" s="156"/>
      <c r="B42" s="16"/>
      <c r="C42" s="156"/>
      <c r="D42" s="156"/>
      <c r="E42" s="156"/>
      <c r="F42" s="156"/>
      <c r="G42" s="156"/>
      <c r="H42" s="156"/>
      <c r="I42" s="156"/>
      <c r="J42" s="156"/>
      <c r="K42" s="156"/>
      <c r="L42" s="17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</row>
    <row r="43" spans="1:31" s="1" customFormat="1" ht="25.35" customHeight="1" x14ac:dyDescent="0.2">
      <c r="A43" s="156"/>
      <c r="B43" s="16"/>
      <c r="C43" s="43"/>
      <c r="D43" s="44" t="s">
        <v>32</v>
      </c>
      <c r="E43" s="29"/>
      <c r="F43" s="29"/>
      <c r="G43" s="45" t="s">
        <v>33</v>
      </c>
      <c r="H43" s="46" t="s">
        <v>34</v>
      </c>
      <c r="I43" s="29"/>
      <c r="J43" s="47">
        <f>SUM(J34:J41)</f>
        <v>443737.42000000004</v>
      </c>
      <c r="K43" s="48"/>
      <c r="L43" s="17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</row>
    <row r="44" spans="1:31" s="1" customFormat="1" ht="14.45" customHeight="1" x14ac:dyDescent="0.2">
      <c r="A44" s="156"/>
      <c r="B44" s="16"/>
      <c r="C44" s="156"/>
      <c r="D44" s="156"/>
      <c r="E44" s="156"/>
      <c r="F44" s="156"/>
      <c r="G44" s="156"/>
      <c r="H44" s="156"/>
      <c r="I44" s="156"/>
      <c r="J44" s="156"/>
      <c r="K44" s="156"/>
      <c r="L44" s="17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</row>
    <row r="45" spans="1:31" ht="14.45" customHeight="1" x14ac:dyDescent="0.2">
      <c r="B45" s="13"/>
      <c r="L45" s="13"/>
    </row>
    <row r="46" spans="1:31" ht="14.45" customHeight="1" x14ac:dyDescent="0.2">
      <c r="B46" s="13"/>
      <c r="L46" s="13"/>
    </row>
    <row r="47" spans="1:31" ht="14.45" customHeight="1" x14ac:dyDescent="0.2">
      <c r="B47" s="13"/>
      <c r="L47" s="13"/>
    </row>
    <row r="48" spans="1:31" ht="14.45" customHeight="1" x14ac:dyDescent="0.2">
      <c r="B48" s="13"/>
      <c r="L48" s="13"/>
    </row>
    <row r="49" spans="1:31" s="1" customFormat="1" ht="14.45" customHeight="1" x14ac:dyDescent="0.2">
      <c r="B49" s="17"/>
      <c r="D49" s="18" t="s">
        <v>35</v>
      </c>
      <c r="E49" s="19"/>
      <c r="F49" s="19"/>
      <c r="G49" s="18" t="s">
        <v>36</v>
      </c>
      <c r="H49" s="19"/>
      <c r="I49" s="19"/>
      <c r="J49" s="19"/>
      <c r="K49" s="19"/>
      <c r="L49" s="17"/>
    </row>
    <row r="50" spans="1:31" x14ac:dyDescent="0.2">
      <c r="B50" s="13"/>
      <c r="L50" s="13"/>
    </row>
    <row r="51" spans="1:31" x14ac:dyDescent="0.2">
      <c r="B51" s="13"/>
      <c r="L51" s="13"/>
    </row>
    <row r="52" spans="1:31" x14ac:dyDescent="0.2">
      <c r="B52" s="13"/>
      <c r="L52" s="13"/>
    </row>
    <row r="53" spans="1:31" x14ac:dyDescent="0.2">
      <c r="B53" s="13"/>
      <c r="L53" s="13"/>
    </row>
    <row r="54" spans="1:31" x14ac:dyDescent="0.2">
      <c r="B54" s="13"/>
      <c r="L54" s="13"/>
    </row>
    <row r="55" spans="1:31" x14ac:dyDescent="0.2">
      <c r="B55" s="13"/>
      <c r="L55" s="13"/>
    </row>
    <row r="56" spans="1:31" x14ac:dyDescent="0.2">
      <c r="B56" s="13"/>
      <c r="L56" s="13"/>
    </row>
    <row r="57" spans="1:31" x14ac:dyDescent="0.2">
      <c r="B57" s="13"/>
      <c r="L57" s="13"/>
    </row>
    <row r="58" spans="1:31" x14ac:dyDescent="0.2">
      <c r="B58" s="13"/>
      <c r="L58" s="13"/>
    </row>
    <row r="59" spans="1:31" x14ac:dyDescent="0.2">
      <c r="B59" s="13"/>
      <c r="L59" s="13"/>
    </row>
    <row r="60" spans="1:31" s="1" customFormat="1" ht="12.75" x14ac:dyDescent="0.2">
      <c r="A60" s="156"/>
      <c r="B60" s="16"/>
      <c r="C60" s="156"/>
      <c r="D60" s="20" t="s">
        <v>37</v>
      </c>
      <c r="E60" s="149"/>
      <c r="F60" s="49" t="s">
        <v>38</v>
      </c>
      <c r="G60" s="20" t="s">
        <v>37</v>
      </c>
      <c r="H60" s="149"/>
      <c r="I60" s="149"/>
      <c r="J60" s="50" t="s">
        <v>38</v>
      </c>
      <c r="K60" s="149"/>
      <c r="L60" s="17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</row>
    <row r="61" spans="1:31" x14ac:dyDescent="0.2">
      <c r="B61" s="13"/>
      <c r="L61" s="13"/>
    </row>
    <row r="62" spans="1:31" x14ac:dyDescent="0.2">
      <c r="B62" s="13"/>
      <c r="L62" s="13"/>
    </row>
    <row r="63" spans="1:31" x14ac:dyDescent="0.2">
      <c r="B63" s="13"/>
      <c r="L63" s="13"/>
    </row>
    <row r="64" spans="1:31" s="1" customFormat="1" ht="12.75" x14ac:dyDescent="0.2">
      <c r="A64" s="156"/>
      <c r="B64" s="16"/>
      <c r="C64" s="156"/>
      <c r="D64" s="18" t="s">
        <v>39</v>
      </c>
      <c r="E64" s="21"/>
      <c r="F64" s="21"/>
      <c r="G64" s="18" t="s">
        <v>40</v>
      </c>
      <c r="H64" s="21"/>
      <c r="I64" s="21"/>
      <c r="J64" s="21"/>
      <c r="K64" s="21"/>
      <c r="L64" s="17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</row>
    <row r="65" spans="1:31" x14ac:dyDescent="0.2">
      <c r="B65" s="13"/>
      <c r="L65" s="13"/>
    </row>
    <row r="66" spans="1:31" x14ac:dyDescent="0.2">
      <c r="B66" s="13"/>
      <c r="L66" s="13"/>
    </row>
    <row r="67" spans="1:31" x14ac:dyDescent="0.2">
      <c r="B67" s="13"/>
      <c r="L67" s="13"/>
    </row>
    <row r="68" spans="1:31" x14ac:dyDescent="0.2">
      <c r="B68" s="13"/>
      <c r="L68" s="13"/>
    </row>
    <row r="69" spans="1:31" x14ac:dyDescent="0.2">
      <c r="B69" s="13"/>
      <c r="L69" s="13"/>
    </row>
    <row r="70" spans="1:31" x14ac:dyDescent="0.2">
      <c r="B70" s="13"/>
      <c r="L70" s="13"/>
    </row>
    <row r="71" spans="1:31" x14ac:dyDescent="0.2">
      <c r="B71" s="13"/>
      <c r="L71" s="13"/>
    </row>
    <row r="72" spans="1:31" x14ac:dyDescent="0.2">
      <c r="B72" s="13"/>
      <c r="L72" s="13"/>
    </row>
    <row r="73" spans="1:31" x14ac:dyDescent="0.2">
      <c r="B73" s="13"/>
      <c r="L73" s="13"/>
    </row>
    <row r="74" spans="1:31" x14ac:dyDescent="0.2">
      <c r="B74" s="13"/>
      <c r="L74" s="13"/>
    </row>
    <row r="75" spans="1:31" s="1" customFormat="1" ht="12.75" x14ac:dyDescent="0.2">
      <c r="A75" s="156"/>
      <c r="B75" s="16"/>
      <c r="C75" s="156"/>
      <c r="D75" s="20" t="s">
        <v>37</v>
      </c>
      <c r="E75" s="149"/>
      <c r="F75" s="49" t="s">
        <v>38</v>
      </c>
      <c r="G75" s="20" t="s">
        <v>37</v>
      </c>
      <c r="H75" s="149"/>
      <c r="I75" s="149"/>
      <c r="J75" s="50" t="s">
        <v>38</v>
      </c>
      <c r="K75" s="149"/>
      <c r="L75" s="17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</row>
    <row r="76" spans="1:31" s="1" customFormat="1" ht="14.45" customHeight="1" x14ac:dyDescent="0.2">
      <c r="A76" s="156"/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17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</row>
    <row r="80" spans="1:31" s="1" customFormat="1" ht="6.95" customHeight="1" x14ac:dyDescent="0.2">
      <c r="A80" s="156"/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17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</row>
    <row r="81" spans="1:31" s="1" customFormat="1" ht="24.95" customHeight="1" x14ac:dyDescent="0.2">
      <c r="A81" s="156"/>
      <c r="B81" s="16"/>
      <c r="C81" s="14" t="s">
        <v>53</v>
      </c>
      <c r="D81" s="156"/>
      <c r="E81" s="156"/>
      <c r="F81" s="156"/>
      <c r="G81" s="156"/>
      <c r="H81" s="156"/>
      <c r="I81" s="156"/>
      <c r="J81" s="156"/>
      <c r="K81" s="156"/>
      <c r="L81" s="17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</row>
    <row r="82" spans="1:31" s="1" customFormat="1" ht="6.95" customHeight="1" x14ac:dyDescent="0.2">
      <c r="A82" s="156"/>
      <c r="B82" s="16"/>
      <c r="C82" s="156"/>
      <c r="D82" s="156"/>
      <c r="E82" s="156"/>
      <c r="F82" s="156"/>
      <c r="G82" s="156"/>
      <c r="H82" s="156"/>
      <c r="I82" s="156"/>
      <c r="J82" s="156"/>
      <c r="K82" s="156"/>
      <c r="L82" s="17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</row>
    <row r="83" spans="1:31" s="1" customFormat="1" ht="12" customHeight="1" x14ac:dyDescent="0.2">
      <c r="A83" s="156"/>
      <c r="B83" s="16"/>
      <c r="C83" s="154" t="s">
        <v>6</v>
      </c>
      <c r="D83" s="156"/>
      <c r="E83" s="156"/>
      <c r="F83" s="156"/>
      <c r="G83" s="156"/>
      <c r="H83" s="156"/>
      <c r="I83" s="156"/>
      <c r="J83" s="156"/>
      <c r="K83" s="156"/>
      <c r="L83" s="17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</row>
    <row r="84" spans="1:31" s="1" customFormat="1" ht="16.5" customHeight="1" x14ac:dyDescent="0.2">
      <c r="A84" s="156"/>
      <c r="B84" s="16"/>
      <c r="C84" s="156"/>
      <c r="D84" s="156"/>
      <c r="E84" s="195" t="e">
        <f>E7</f>
        <v>#REF!</v>
      </c>
      <c r="F84" s="201"/>
      <c r="G84" s="201"/>
      <c r="H84" s="201"/>
      <c r="I84" s="156"/>
      <c r="J84" s="156"/>
      <c r="K84" s="156"/>
      <c r="L84" s="17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</row>
    <row r="85" spans="1:31" ht="12" customHeight="1" x14ac:dyDescent="0.2">
      <c r="B85" s="13"/>
      <c r="C85" s="154" t="s">
        <v>50</v>
      </c>
      <c r="L85" s="13"/>
    </row>
    <row r="86" spans="1:31" ht="16.5" customHeight="1" x14ac:dyDescent="0.2">
      <c r="B86" s="13"/>
      <c r="E86" s="195" t="s">
        <v>51</v>
      </c>
      <c r="F86" s="196"/>
      <c r="G86" s="196"/>
      <c r="H86" s="196"/>
      <c r="L86" s="13"/>
    </row>
    <row r="87" spans="1:31" ht="12" customHeight="1" x14ac:dyDescent="0.2">
      <c r="B87" s="13"/>
      <c r="C87" s="154" t="s">
        <v>52</v>
      </c>
      <c r="L87" s="13"/>
    </row>
    <row r="88" spans="1:31" s="1" customFormat="1" ht="16.5" customHeight="1" x14ac:dyDescent="0.2">
      <c r="A88" s="156"/>
      <c r="B88" s="16"/>
      <c r="C88" s="156"/>
      <c r="D88" s="156"/>
      <c r="E88" s="197" t="s">
        <v>201</v>
      </c>
      <c r="F88" s="198"/>
      <c r="G88" s="198"/>
      <c r="H88" s="198"/>
      <c r="I88" s="156"/>
      <c r="J88" s="156"/>
      <c r="K88" s="156"/>
      <c r="L88" s="17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31" s="1" customFormat="1" ht="12" customHeight="1" x14ac:dyDescent="0.2">
      <c r="A89" s="156"/>
      <c r="B89" s="16"/>
      <c r="C89" s="154" t="s">
        <v>202</v>
      </c>
      <c r="D89" s="156"/>
      <c r="E89" s="156"/>
      <c r="F89" s="156"/>
      <c r="G89" s="156"/>
      <c r="H89" s="156"/>
      <c r="I89" s="156"/>
      <c r="J89" s="156"/>
      <c r="K89" s="156"/>
      <c r="L89" s="17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31" s="1" customFormat="1" ht="45.75" customHeight="1" x14ac:dyDescent="0.2">
      <c r="A90" s="156"/>
      <c r="B90" s="16"/>
      <c r="C90" s="156"/>
      <c r="D90" s="156"/>
      <c r="E90" s="199" t="str">
        <f>E13</f>
        <v>00001 - DSO 01.3.1a Kanalizační odbočení Stoky D-Od8c(2,06m), Od8d(1,47m), Od11(4,51m), Od15a(2,39m), Od15b(3,4m), Od27c(2,52m), Od27d(4,18m), Od33(2,94m), Od41b(3,0m)</v>
      </c>
      <c r="F90" s="198"/>
      <c r="G90" s="198"/>
      <c r="H90" s="198"/>
      <c r="I90" s="156"/>
      <c r="J90" s="156"/>
      <c r="K90" s="156"/>
      <c r="L90" s="17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31" s="1" customFormat="1" ht="6.95" customHeight="1" x14ac:dyDescent="0.2">
      <c r="A91" s="156"/>
      <c r="B91" s="16"/>
      <c r="C91" s="156"/>
      <c r="D91" s="156"/>
      <c r="E91" s="156"/>
      <c r="F91" s="156"/>
      <c r="G91" s="156"/>
      <c r="H91" s="156"/>
      <c r="I91" s="156"/>
      <c r="J91" s="156"/>
      <c r="K91" s="156"/>
      <c r="L91" s="17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31" s="1" customFormat="1" ht="12" customHeight="1" x14ac:dyDescent="0.2">
      <c r="A92" s="156"/>
      <c r="B92" s="16"/>
      <c r="C92" s="154" t="s">
        <v>9</v>
      </c>
      <c r="D92" s="156"/>
      <c r="E92" s="156"/>
      <c r="F92" s="147" t="str">
        <f>F16</f>
        <v xml:space="preserve"> </v>
      </c>
      <c r="G92" s="156"/>
      <c r="H92" s="156"/>
      <c r="I92" s="154" t="s">
        <v>11</v>
      </c>
      <c r="J92" s="153" t="e">
        <f>IF(J16="","",J16)</f>
        <v>#REF!</v>
      </c>
      <c r="K92" s="156"/>
      <c r="L92" s="17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31" s="1" customFormat="1" ht="6.95" customHeight="1" x14ac:dyDescent="0.2">
      <c r="A93" s="156"/>
      <c r="B93" s="16"/>
      <c r="C93" s="156"/>
      <c r="D93" s="156"/>
      <c r="E93" s="156"/>
      <c r="F93" s="156"/>
      <c r="G93" s="156"/>
      <c r="H93" s="156"/>
      <c r="I93" s="156"/>
      <c r="J93" s="156"/>
      <c r="K93" s="156"/>
      <c r="L93" s="17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31" s="1" customFormat="1" ht="40.15" customHeight="1" x14ac:dyDescent="0.2">
      <c r="A94" s="156"/>
      <c r="B94" s="16"/>
      <c r="C94" s="154" t="s">
        <v>12</v>
      </c>
      <c r="D94" s="156"/>
      <c r="E94" s="156"/>
      <c r="F94" s="147" t="str">
        <f>E19</f>
        <v>Město Petřvald</v>
      </c>
      <c r="G94" s="156"/>
      <c r="H94" s="156"/>
      <c r="I94" s="154" t="s">
        <v>17</v>
      </c>
      <c r="J94" s="148" t="str">
        <f>E25</f>
        <v>Sweco Hydroprojekt a.s., divize Morava</v>
      </c>
      <c r="K94" s="156"/>
      <c r="L94" s="17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</row>
    <row r="95" spans="1:31" s="1" customFormat="1" ht="15.2" customHeight="1" x14ac:dyDescent="0.2">
      <c r="A95" s="156"/>
      <c r="B95" s="16"/>
      <c r="C95" s="154" t="s">
        <v>16</v>
      </c>
      <c r="D95" s="156"/>
      <c r="E95" s="156"/>
      <c r="F95" s="147" t="e">
        <f>IF(E22="","",E22)</f>
        <v>#REF!</v>
      </c>
      <c r="G95" s="156"/>
      <c r="H95" s="156"/>
      <c r="I95" s="154" t="s">
        <v>20</v>
      </c>
      <c r="J95" s="148" t="e">
        <f>E28</f>
        <v>#REF!</v>
      </c>
      <c r="K95" s="156"/>
      <c r="L95" s="17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</row>
    <row r="96" spans="1:31" s="1" customFormat="1" ht="10.35" customHeight="1" x14ac:dyDescent="0.2">
      <c r="A96" s="156"/>
      <c r="B96" s="16"/>
      <c r="C96" s="156"/>
      <c r="D96" s="156"/>
      <c r="E96" s="156"/>
      <c r="F96" s="156"/>
      <c r="G96" s="156"/>
      <c r="H96" s="156"/>
      <c r="I96" s="156"/>
      <c r="J96" s="156"/>
      <c r="K96" s="156"/>
      <c r="L96" s="17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</row>
    <row r="97" spans="1:47" s="1" customFormat="1" ht="29.25" customHeight="1" x14ac:dyDescent="0.2">
      <c r="A97" s="156"/>
      <c r="B97" s="16"/>
      <c r="C97" s="51" t="s">
        <v>54</v>
      </c>
      <c r="D97" s="43"/>
      <c r="E97" s="43"/>
      <c r="F97" s="43"/>
      <c r="G97" s="43"/>
      <c r="H97" s="43"/>
      <c r="I97" s="43"/>
      <c r="J97" s="52" t="s">
        <v>55</v>
      </c>
      <c r="K97" s="43"/>
      <c r="L97" s="17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</row>
    <row r="98" spans="1:47" s="1" customFormat="1" ht="10.35" customHeight="1" x14ac:dyDescent="0.2">
      <c r="A98" s="156"/>
      <c r="B98" s="16"/>
      <c r="C98" s="156"/>
      <c r="D98" s="156"/>
      <c r="E98" s="156"/>
      <c r="F98" s="156"/>
      <c r="G98" s="156"/>
      <c r="H98" s="156"/>
      <c r="I98" s="156"/>
      <c r="J98" s="156"/>
      <c r="K98" s="156"/>
      <c r="L98" s="17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</row>
    <row r="99" spans="1:47" s="1" customFormat="1" ht="22.9" customHeight="1" x14ac:dyDescent="0.2">
      <c r="A99" s="156"/>
      <c r="B99" s="16"/>
      <c r="C99" s="53" t="s">
        <v>56</v>
      </c>
      <c r="D99" s="156"/>
      <c r="E99" s="156"/>
      <c r="F99" s="156"/>
      <c r="G99" s="156"/>
      <c r="H99" s="156"/>
      <c r="I99" s="156"/>
      <c r="J99" s="152">
        <f>J132</f>
        <v>366725.14</v>
      </c>
      <c r="K99" s="156"/>
      <c r="L99" s="17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U99" s="10" t="s">
        <v>57</v>
      </c>
    </row>
    <row r="100" spans="1:47" s="3" customFormat="1" ht="24.95" customHeight="1" x14ac:dyDescent="0.2">
      <c r="B100" s="54"/>
      <c r="D100" s="55" t="s">
        <v>58</v>
      </c>
      <c r="E100" s="56"/>
      <c r="F100" s="56"/>
      <c r="G100" s="56"/>
      <c r="H100" s="56"/>
      <c r="I100" s="56"/>
      <c r="J100" s="57">
        <f>J133</f>
        <v>366725.14</v>
      </c>
      <c r="L100" s="54"/>
    </row>
    <row r="101" spans="1:47" s="151" customFormat="1" ht="19.899999999999999" customHeight="1" x14ac:dyDescent="0.2">
      <c r="B101" s="58"/>
      <c r="D101" s="59" t="s">
        <v>59</v>
      </c>
      <c r="E101" s="60"/>
      <c r="F101" s="60"/>
      <c r="G101" s="60"/>
      <c r="H101" s="60"/>
      <c r="I101" s="60"/>
      <c r="J101" s="61">
        <f>J134</f>
        <v>159357.20000000001</v>
      </c>
      <c r="L101" s="58"/>
    </row>
    <row r="102" spans="1:47" s="151" customFormat="1" ht="19.899999999999999" customHeight="1" x14ac:dyDescent="0.2">
      <c r="B102" s="58"/>
      <c r="D102" s="59" t="s">
        <v>206</v>
      </c>
      <c r="E102" s="60"/>
      <c r="F102" s="60"/>
      <c r="G102" s="60"/>
      <c r="H102" s="60"/>
      <c r="I102" s="60"/>
      <c r="J102" s="61">
        <f>J227</f>
        <v>6989.89</v>
      </c>
      <c r="L102" s="58"/>
    </row>
    <row r="103" spans="1:47" s="151" customFormat="1" ht="19.899999999999999" customHeight="1" x14ac:dyDescent="0.2">
      <c r="B103" s="58"/>
      <c r="D103" s="59" t="s">
        <v>207</v>
      </c>
      <c r="E103" s="60"/>
      <c r="F103" s="60"/>
      <c r="G103" s="60"/>
      <c r="H103" s="60"/>
      <c r="I103" s="60"/>
      <c r="J103" s="61">
        <f>J230</f>
        <v>4814.95</v>
      </c>
      <c r="L103" s="58"/>
    </row>
    <row r="104" spans="1:47" s="151" customFormat="1" ht="19.899999999999999" customHeight="1" x14ac:dyDescent="0.2">
      <c r="B104" s="58"/>
      <c r="D104" s="59" t="s">
        <v>208</v>
      </c>
      <c r="E104" s="60"/>
      <c r="F104" s="60"/>
      <c r="G104" s="60"/>
      <c r="H104" s="60"/>
      <c r="I104" s="60"/>
      <c r="J104" s="61">
        <f>J245</f>
        <v>17503.27</v>
      </c>
      <c r="L104" s="58"/>
    </row>
    <row r="105" spans="1:47" s="151" customFormat="1" ht="19.899999999999999" customHeight="1" x14ac:dyDescent="0.2">
      <c r="B105" s="58"/>
      <c r="D105" s="59" t="s">
        <v>209</v>
      </c>
      <c r="E105" s="60"/>
      <c r="F105" s="60"/>
      <c r="G105" s="60"/>
      <c r="H105" s="60"/>
      <c r="I105" s="60"/>
      <c r="J105" s="61">
        <f>J254</f>
        <v>157968.76999999999</v>
      </c>
      <c r="L105" s="58"/>
    </row>
    <row r="106" spans="1:47" s="151" customFormat="1" ht="19.899999999999999" customHeight="1" x14ac:dyDescent="0.2">
      <c r="B106" s="58"/>
      <c r="D106" s="59" t="s">
        <v>210</v>
      </c>
      <c r="E106" s="60"/>
      <c r="F106" s="60"/>
      <c r="G106" s="60"/>
      <c r="H106" s="60"/>
      <c r="I106" s="60"/>
      <c r="J106" s="61">
        <f>J298</f>
        <v>10608.82</v>
      </c>
      <c r="L106" s="58"/>
    </row>
    <row r="107" spans="1:47" s="151" customFormat="1" ht="19.899999999999999" customHeight="1" x14ac:dyDescent="0.2">
      <c r="B107" s="58"/>
      <c r="D107" s="59" t="s">
        <v>211</v>
      </c>
      <c r="E107" s="60"/>
      <c r="F107" s="60"/>
      <c r="G107" s="60"/>
      <c r="H107" s="60"/>
      <c r="I107" s="60"/>
      <c r="J107" s="61">
        <f>J301</f>
        <v>7853.6299999999992</v>
      </c>
      <c r="L107" s="58"/>
    </row>
    <row r="108" spans="1:47" s="151" customFormat="1" ht="19.899999999999999" customHeight="1" x14ac:dyDescent="0.2">
      <c r="B108" s="58"/>
      <c r="D108" s="59" t="s">
        <v>135</v>
      </c>
      <c r="E108" s="60"/>
      <c r="F108" s="60"/>
      <c r="G108" s="60"/>
      <c r="H108" s="60"/>
      <c r="I108" s="60"/>
      <c r="J108" s="61">
        <f>J321</f>
        <v>1628.61</v>
      </c>
      <c r="L108" s="58"/>
    </row>
    <row r="109" spans="1:47" s="1" customFormat="1" ht="21.75" customHeight="1" x14ac:dyDescent="0.2">
      <c r="A109" s="156"/>
      <c r="B109" s="16"/>
      <c r="C109" s="156"/>
      <c r="D109" s="156"/>
      <c r="E109" s="156"/>
      <c r="F109" s="156"/>
      <c r="G109" s="156"/>
      <c r="H109" s="156"/>
      <c r="I109" s="156"/>
      <c r="J109" s="156"/>
      <c r="K109" s="156"/>
      <c r="L109" s="17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</row>
    <row r="110" spans="1:47" s="1" customFormat="1" ht="6.95" customHeight="1" x14ac:dyDescent="0.2">
      <c r="A110" s="156"/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17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</row>
    <row r="114" spans="1:31" s="1" customFormat="1" ht="6.95" customHeight="1" x14ac:dyDescent="0.2">
      <c r="A114" s="156"/>
      <c r="B114" s="24"/>
      <c r="C114" s="25"/>
      <c r="D114" s="25"/>
      <c r="E114" s="25"/>
      <c r="F114" s="25"/>
      <c r="G114" s="25"/>
      <c r="H114" s="25"/>
      <c r="I114" s="25"/>
      <c r="J114" s="25"/>
      <c r="K114" s="25"/>
      <c r="L114" s="17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</row>
    <row r="115" spans="1:31" s="1" customFormat="1" ht="24.95" customHeight="1" x14ac:dyDescent="0.2">
      <c r="A115" s="156"/>
      <c r="B115" s="16"/>
      <c r="C115" s="14" t="s">
        <v>60</v>
      </c>
      <c r="D115" s="156"/>
      <c r="E115" s="156"/>
      <c r="F115" s="156"/>
      <c r="G115" s="156"/>
      <c r="H115" s="156"/>
      <c r="I115" s="156"/>
      <c r="J115" s="156"/>
      <c r="K115" s="156"/>
      <c r="L115" s="17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31" s="1" customFormat="1" ht="6.95" customHeight="1" x14ac:dyDescent="0.2">
      <c r="A116" s="156"/>
      <c r="B116" s="16"/>
      <c r="C116" s="156"/>
      <c r="D116" s="156"/>
      <c r="E116" s="156"/>
      <c r="F116" s="156"/>
      <c r="G116" s="156"/>
      <c r="H116" s="156"/>
      <c r="I116" s="156"/>
      <c r="J116" s="156"/>
      <c r="K116" s="156"/>
      <c r="L116" s="17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31" s="1" customFormat="1" ht="12" customHeight="1" x14ac:dyDescent="0.2">
      <c r="A117" s="156"/>
      <c r="B117" s="16"/>
      <c r="C117" s="154" t="s">
        <v>6</v>
      </c>
      <c r="D117" s="156"/>
      <c r="E117" s="156"/>
      <c r="F117" s="156"/>
      <c r="G117" s="156"/>
      <c r="H117" s="156"/>
      <c r="I117" s="156"/>
      <c r="J117" s="156"/>
      <c r="K117" s="156"/>
      <c r="L117" s="17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31" s="1" customFormat="1" ht="16.5" customHeight="1" x14ac:dyDescent="0.2">
      <c r="A118" s="156"/>
      <c r="B118" s="16"/>
      <c r="C118" s="156"/>
      <c r="D118" s="156"/>
      <c r="E118" s="195" t="e">
        <f>E7</f>
        <v>#REF!</v>
      </c>
      <c r="F118" s="201"/>
      <c r="G118" s="201"/>
      <c r="H118" s="201"/>
      <c r="I118" s="156"/>
      <c r="J118" s="156"/>
      <c r="K118" s="156"/>
      <c r="L118" s="17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pans="1:31" ht="12" customHeight="1" x14ac:dyDescent="0.2">
      <c r="B119" s="13"/>
      <c r="C119" s="154" t="s">
        <v>50</v>
      </c>
      <c r="L119" s="13"/>
    </row>
    <row r="120" spans="1:31" ht="16.5" customHeight="1" x14ac:dyDescent="0.2">
      <c r="B120" s="13"/>
      <c r="E120" s="195" t="s">
        <v>51</v>
      </c>
      <c r="F120" s="196"/>
      <c r="G120" s="196"/>
      <c r="H120" s="196"/>
      <c r="L120" s="13"/>
    </row>
    <row r="121" spans="1:31" ht="12" customHeight="1" x14ac:dyDescent="0.2">
      <c r="B121" s="13"/>
      <c r="C121" s="154" t="s">
        <v>52</v>
      </c>
      <c r="L121" s="13"/>
    </row>
    <row r="122" spans="1:31" s="1" customFormat="1" ht="16.5" customHeight="1" x14ac:dyDescent="0.2">
      <c r="A122" s="156"/>
      <c r="B122" s="16"/>
      <c r="C122" s="156"/>
      <c r="D122" s="156"/>
      <c r="E122" s="197" t="s">
        <v>201</v>
      </c>
      <c r="F122" s="198"/>
      <c r="G122" s="198"/>
      <c r="H122" s="198"/>
      <c r="I122" s="156"/>
      <c r="J122" s="156"/>
      <c r="K122" s="156"/>
      <c r="L122" s="17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31" s="1" customFormat="1" ht="12" customHeight="1" x14ac:dyDescent="0.2">
      <c r="A123" s="156"/>
      <c r="B123" s="16"/>
      <c r="C123" s="154" t="s">
        <v>202</v>
      </c>
      <c r="D123" s="156"/>
      <c r="E123" s="156"/>
      <c r="F123" s="156"/>
      <c r="G123" s="156"/>
      <c r="H123" s="156"/>
      <c r="I123" s="156"/>
      <c r="J123" s="156"/>
      <c r="K123" s="156"/>
      <c r="L123" s="17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pans="1:31" s="1" customFormat="1" ht="45" customHeight="1" x14ac:dyDescent="0.2">
      <c r="A124" s="156"/>
      <c r="B124" s="16"/>
      <c r="C124" s="156"/>
      <c r="D124" s="156"/>
      <c r="E124" s="199" t="str">
        <f>E13</f>
        <v>00001 - DSO 01.3.1a Kanalizační odbočení Stoky D-Od8c(2,06m), Od8d(1,47m), Od11(4,51m), Od15a(2,39m), Od15b(3,4m), Od27c(2,52m), Od27d(4,18m), Od33(2,94m), Od41b(3,0m)</v>
      </c>
      <c r="F124" s="198"/>
      <c r="G124" s="198"/>
      <c r="H124" s="198"/>
      <c r="I124" s="156"/>
      <c r="J124" s="156"/>
      <c r="K124" s="156"/>
      <c r="L124" s="17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pans="1:31" s="1" customFormat="1" ht="6.95" customHeight="1" x14ac:dyDescent="0.2">
      <c r="A125" s="156"/>
      <c r="B125" s="16"/>
      <c r="C125" s="156"/>
      <c r="D125" s="156"/>
      <c r="E125" s="156"/>
      <c r="F125" s="156"/>
      <c r="G125" s="156"/>
      <c r="H125" s="156"/>
      <c r="I125" s="156"/>
      <c r="J125" s="156"/>
      <c r="K125" s="156"/>
      <c r="L125" s="17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31" s="1" customFormat="1" ht="12" customHeight="1" x14ac:dyDescent="0.2">
      <c r="A126" s="156"/>
      <c r="B126" s="16"/>
      <c r="C126" s="154" t="s">
        <v>9</v>
      </c>
      <c r="D126" s="156"/>
      <c r="E126" s="156"/>
      <c r="F126" s="147" t="str">
        <f>F16</f>
        <v xml:space="preserve"> </v>
      </c>
      <c r="G126" s="156"/>
      <c r="H126" s="156"/>
      <c r="I126" s="154" t="s">
        <v>11</v>
      </c>
      <c r="J126" s="153" t="e">
        <f>IF(J16="","",J16)</f>
        <v>#REF!</v>
      </c>
      <c r="K126" s="156"/>
      <c r="L126" s="17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pans="1:31" s="1" customFormat="1" ht="6.95" customHeight="1" x14ac:dyDescent="0.2">
      <c r="A127" s="156"/>
      <c r="B127" s="16"/>
      <c r="C127" s="156"/>
      <c r="D127" s="156"/>
      <c r="E127" s="156"/>
      <c r="F127" s="156"/>
      <c r="G127" s="156"/>
      <c r="H127" s="156"/>
      <c r="I127" s="156"/>
      <c r="J127" s="156"/>
      <c r="K127" s="156"/>
      <c r="L127" s="17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pans="1:31" s="1" customFormat="1" ht="40.15" customHeight="1" x14ac:dyDescent="0.2">
      <c r="A128" s="156"/>
      <c r="B128" s="16"/>
      <c r="C128" s="154" t="s">
        <v>12</v>
      </c>
      <c r="D128" s="156"/>
      <c r="E128" s="156"/>
      <c r="F128" s="147" t="str">
        <f>E19</f>
        <v>Město Petřvald</v>
      </c>
      <c r="G128" s="156"/>
      <c r="H128" s="156"/>
      <c r="I128" s="154" t="s">
        <v>17</v>
      </c>
      <c r="J128" s="148" t="str">
        <f>E25</f>
        <v>Sweco Hydroprojekt a.s., divize Morava</v>
      </c>
      <c r="K128" s="156"/>
      <c r="L128" s="17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pans="1:65" s="1" customFormat="1" ht="15.2" customHeight="1" x14ac:dyDescent="0.2">
      <c r="A129" s="156"/>
      <c r="B129" s="16"/>
      <c r="C129" s="154" t="s">
        <v>16</v>
      </c>
      <c r="D129" s="156"/>
      <c r="E129" s="156"/>
      <c r="F129" s="147" t="e">
        <f>IF(E22="","",E22)</f>
        <v>#REF!</v>
      </c>
      <c r="G129" s="156"/>
      <c r="H129" s="156"/>
      <c r="I129" s="154" t="s">
        <v>20</v>
      </c>
      <c r="J129" s="148" t="e">
        <f>E28</f>
        <v>#REF!</v>
      </c>
      <c r="K129" s="156"/>
      <c r="L129" s="17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</row>
    <row r="130" spans="1:65" s="1" customFormat="1" ht="10.35" customHeight="1" x14ac:dyDescent="0.2">
      <c r="A130" s="156"/>
      <c r="B130" s="16"/>
      <c r="C130" s="156"/>
      <c r="D130" s="156"/>
      <c r="E130" s="156"/>
      <c r="F130" s="156"/>
      <c r="G130" s="156"/>
      <c r="H130" s="156"/>
      <c r="I130" s="156"/>
      <c r="J130" s="156"/>
      <c r="K130" s="156"/>
      <c r="L130" s="17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</row>
    <row r="131" spans="1:65" s="4" customFormat="1" ht="29.25" customHeight="1" x14ac:dyDescent="0.2">
      <c r="A131" s="62"/>
      <c r="B131" s="63"/>
      <c r="C131" s="64" t="s">
        <v>61</v>
      </c>
      <c r="D131" s="65" t="s">
        <v>43</v>
      </c>
      <c r="E131" s="65" t="s">
        <v>41</v>
      </c>
      <c r="F131" s="65" t="s">
        <v>42</v>
      </c>
      <c r="G131" s="65" t="s">
        <v>62</v>
      </c>
      <c r="H131" s="65" t="s">
        <v>63</v>
      </c>
      <c r="I131" s="65" t="s">
        <v>64</v>
      </c>
      <c r="J131" s="65" t="s">
        <v>55</v>
      </c>
      <c r="K131" s="66" t="s">
        <v>65</v>
      </c>
      <c r="L131" s="67"/>
      <c r="M131" s="30" t="s">
        <v>0</v>
      </c>
      <c r="N131" s="31" t="s">
        <v>26</v>
      </c>
      <c r="O131" s="31" t="s">
        <v>66</v>
      </c>
      <c r="P131" s="31" t="s">
        <v>67</v>
      </c>
      <c r="Q131" s="31" t="s">
        <v>68</v>
      </c>
      <c r="R131" s="31" t="s">
        <v>69</v>
      </c>
      <c r="S131" s="31" t="s">
        <v>70</v>
      </c>
      <c r="T131" s="32" t="s">
        <v>71</v>
      </c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</row>
    <row r="132" spans="1:65" s="1" customFormat="1" ht="22.9" customHeight="1" x14ac:dyDescent="0.25">
      <c r="A132" s="156"/>
      <c r="B132" s="16"/>
      <c r="C132" s="35" t="s">
        <v>72</v>
      </c>
      <c r="D132" s="156"/>
      <c r="E132" s="156"/>
      <c r="F132" s="156"/>
      <c r="G132" s="156" t="s">
        <v>212</v>
      </c>
      <c r="H132" s="156"/>
      <c r="I132" s="156"/>
      <c r="J132" s="68">
        <f>BK132</f>
        <v>366725.14</v>
      </c>
      <c r="K132" s="156"/>
      <c r="L132" s="16"/>
      <c r="M132" s="33"/>
      <c r="N132" s="26"/>
      <c r="O132" s="34"/>
      <c r="P132" s="69">
        <f>P133</f>
        <v>0</v>
      </c>
      <c r="Q132" s="34"/>
      <c r="R132" s="69">
        <f>R133</f>
        <v>135.03907382000003</v>
      </c>
      <c r="S132" s="34"/>
      <c r="T132" s="70">
        <f>T133</f>
        <v>29.969334</v>
      </c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T132" s="10" t="s">
        <v>44</v>
      </c>
      <c r="AU132" s="10" t="s">
        <v>57</v>
      </c>
      <c r="BK132" s="71">
        <f>BK133</f>
        <v>366725.14</v>
      </c>
    </row>
    <row r="133" spans="1:65" s="5" customFormat="1" ht="25.9" customHeight="1" x14ac:dyDescent="0.2">
      <c r="B133" s="72"/>
      <c r="D133" s="73" t="s">
        <v>44</v>
      </c>
      <c r="E133" s="74" t="s">
        <v>73</v>
      </c>
      <c r="F133" s="74" t="s">
        <v>74</v>
      </c>
      <c r="G133" s="5" t="s">
        <v>212</v>
      </c>
      <c r="I133" s="75"/>
      <c r="J133" s="76">
        <f>BK133</f>
        <v>366725.14</v>
      </c>
      <c r="L133" s="72"/>
      <c r="M133" s="77"/>
      <c r="N133" s="78"/>
      <c r="O133" s="78"/>
      <c r="P133" s="79">
        <f>P134+P227+P230+P245+P254+P298+P301+P321</f>
        <v>0</v>
      </c>
      <c r="Q133" s="78"/>
      <c r="R133" s="79">
        <f>R134+R227+R230+R245+R254+R298+R301+R321</f>
        <v>135.03907382000003</v>
      </c>
      <c r="S133" s="78"/>
      <c r="T133" s="80">
        <f>T134+T227+T230+T245+T254+T298+T301+T321</f>
        <v>29.969334</v>
      </c>
      <c r="AR133" s="73" t="s">
        <v>46</v>
      </c>
      <c r="AT133" s="81" t="s">
        <v>44</v>
      </c>
      <c r="AU133" s="81" t="s">
        <v>45</v>
      </c>
      <c r="AY133" s="73" t="s">
        <v>75</v>
      </c>
      <c r="BK133" s="82">
        <f>BK134+BK227+BK230+BK245+BK254+BK298+BK301+BK321</f>
        <v>366725.14</v>
      </c>
    </row>
    <row r="134" spans="1:65" s="5" customFormat="1" ht="22.9" customHeight="1" x14ac:dyDescent="0.2">
      <c r="B134" s="72"/>
      <c r="D134" s="73" t="s">
        <v>44</v>
      </c>
      <c r="E134" s="83" t="s">
        <v>46</v>
      </c>
      <c r="F134" s="83" t="s">
        <v>76</v>
      </c>
      <c r="G134" s="5" t="s">
        <v>212</v>
      </c>
      <c r="I134" s="75"/>
      <c r="J134" s="84">
        <f>BK134</f>
        <v>159357.20000000001</v>
      </c>
      <c r="L134" s="72"/>
      <c r="M134" s="77"/>
      <c r="N134" s="78"/>
      <c r="O134" s="78"/>
      <c r="P134" s="79">
        <f>SUM(P135:P226)</f>
        <v>0</v>
      </c>
      <c r="Q134" s="78"/>
      <c r="R134" s="79">
        <f>SUM(R135:R226)</f>
        <v>127.27471612000001</v>
      </c>
      <c r="S134" s="78"/>
      <c r="T134" s="80">
        <f>SUM(T135:T226)</f>
        <v>29.969334</v>
      </c>
      <c r="AR134" s="73" t="s">
        <v>46</v>
      </c>
      <c r="AT134" s="81" t="s">
        <v>44</v>
      </c>
      <c r="AU134" s="81" t="s">
        <v>46</v>
      </c>
      <c r="AY134" s="73" t="s">
        <v>75</v>
      </c>
      <c r="BK134" s="82">
        <f>SUM(BK135:BK226)</f>
        <v>159357.20000000001</v>
      </c>
    </row>
    <row r="135" spans="1:65" s="1" customFormat="1" ht="24.2" customHeight="1" x14ac:dyDescent="0.2">
      <c r="A135" s="156"/>
      <c r="B135" s="85"/>
      <c r="C135" s="86" t="s">
        <v>46</v>
      </c>
      <c r="D135" s="86" t="s">
        <v>78</v>
      </c>
      <c r="E135" s="87" t="s">
        <v>146</v>
      </c>
      <c r="F135" s="88" t="s">
        <v>147</v>
      </c>
      <c r="G135" s="89" t="s">
        <v>100</v>
      </c>
      <c r="H135" s="90">
        <v>23.823</v>
      </c>
      <c r="I135" s="91">
        <v>68.767172335543137</v>
      </c>
      <c r="J135" s="92">
        <f>ROUND(I135*H135,2)</f>
        <v>1638.24</v>
      </c>
      <c r="K135" s="88" t="s">
        <v>0</v>
      </c>
      <c r="L135" s="16"/>
      <c r="M135" s="93" t="s">
        <v>0</v>
      </c>
      <c r="N135" s="94" t="s">
        <v>27</v>
      </c>
      <c r="O135" s="27"/>
      <c r="P135" s="95">
        <f>O135*H135</f>
        <v>0</v>
      </c>
      <c r="Q135" s="95">
        <v>0</v>
      </c>
      <c r="R135" s="95">
        <f>Q135*H135</f>
        <v>0</v>
      </c>
      <c r="S135" s="95">
        <v>0.57999999999999996</v>
      </c>
      <c r="T135" s="96">
        <f>S135*H135</f>
        <v>13.81734</v>
      </c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R135" s="97" t="s">
        <v>83</v>
      </c>
      <c r="AT135" s="97" t="s">
        <v>78</v>
      </c>
      <c r="AU135" s="97" t="s">
        <v>47</v>
      </c>
      <c r="AY135" s="10" t="s">
        <v>75</v>
      </c>
      <c r="BE135" s="98">
        <f>IF(N135="základní",J135,0)</f>
        <v>1638.24</v>
      </c>
      <c r="BF135" s="98">
        <f>IF(N135="snížená",J135,0)</f>
        <v>0</v>
      </c>
      <c r="BG135" s="98">
        <f>IF(N135="zákl. přenesená",J135,0)</f>
        <v>0</v>
      </c>
      <c r="BH135" s="98">
        <f>IF(N135="sníž. přenesená",J135,0)</f>
        <v>0</v>
      </c>
      <c r="BI135" s="98">
        <f>IF(N135="nulová",J135,0)</f>
        <v>0</v>
      </c>
      <c r="BJ135" s="10" t="s">
        <v>46</v>
      </c>
      <c r="BK135" s="98">
        <f>ROUND(I135*H135,2)</f>
        <v>1638.24</v>
      </c>
      <c r="BL135" s="10" t="s">
        <v>83</v>
      </c>
      <c r="BM135" s="97" t="s">
        <v>213</v>
      </c>
    </row>
    <row r="136" spans="1:65" s="1" customFormat="1" ht="39" x14ac:dyDescent="0.2">
      <c r="A136" s="156"/>
      <c r="B136" s="16"/>
      <c r="C136" s="156"/>
      <c r="D136" s="99" t="s">
        <v>84</v>
      </c>
      <c r="E136" s="156"/>
      <c r="F136" s="100" t="s">
        <v>148</v>
      </c>
      <c r="G136" s="156"/>
      <c r="H136" s="156"/>
      <c r="I136" s="101"/>
      <c r="J136" s="156"/>
      <c r="K136" s="156"/>
      <c r="L136" s="16"/>
      <c r="M136" s="102"/>
      <c r="N136" s="103"/>
      <c r="O136" s="27"/>
      <c r="P136" s="27"/>
      <c r="Q136" s="27"/>
      <c r="R136" s="27"/>
      <c r="S136" s="27"/>
      <c r="T136" s="28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T136" s="10" t="s">
        <v>84</v>
      </c>
      <c r="AU136" s="10" t="s">
        <v>47</v>
      </c>
    </row>
    <row r="137" spans="1:65" s="1" customFormat="1" x14ac:dyDescent="0.2">
      <c r="A137" s="171"/>
      <c r="B137" s="16"/>
      <c r="C137" s="171"/>
      <c r="D137" s="99"/>
      <c r="E137" s="171"/>
      <c r="F137" s="100" t="s">
        <v>515</v>
      </c>
      <c r="G137" s="171"/>
      <c r="H137" s="171">
        <f>26.47-2.647</f>
        <v>23.823</v>
      </c>
      <c r="I137" s="101"/>
      <c r="J137" s="171"/>
      <c r="K137" s="171"/>
      <c r="L137" s="16"/>
      <c r="M137" s="102"/>
      <c r="N137" s="103"/>
      <c r="O137" s="27"/>
      <c r="P137" s="27"/>
      <c r="Q137" s="27"/>
      <c r="R137" s="27"/>
      <c r="S137" s="27"/>
      <c r="T137" s="28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T137" s="10"/>
      <c r="AU137" s="10"/>
    </row>
    <row r="138" spans="1:65" s="1" customFormat="1" ht="24.2" customHeight="1" x14ac:dyDescent="0.2">
      <c r="A138" s="156"/>
      <c r="B138" s="85"/>
      <c r="C138" s="86" t="s">
        <v>47</v>
      </c>
      <c r="D138" s="86" t="s">
        <v>78</v>
      </c>
      <c r="E138" s="87" t="s">
        <v>149</v>
      </c>
      <c r="F138" s="88" t="s">
        <v>150</v>
      </c>
      <c r="G138" s="89" t="s">
        <v>100</v>
      </c>
      <c r="H138" s="90">
        <v>23.823</v>
      </c>
      <c r="I138" s="91">
        <v>68.767172335543137</v>
      </c>
      <c r="J138" s="92">
        <f>ROUND(I138*H138,2)</f>
        <v>1638.24</v>
      </c>
      <c r="K138" s="88" t="s">
        <v>82</v>
      </c>
      <c r="L138" s="16"/>
      <c r="M138" s="93" t="s">
        <v>0</v>
      </c>
      <c r="N138" s="94" t="s">
        <v>27</v>
      </c>
      <c r="O138" s="27"/>
      <c r="P138" s="95">
        <f>O138*H138</f>
        <v>0</v>
      </c>
      <c r="Q138" s="95">
        <v>0</v>
      </c>
      <c r="R138" s="95">
        <f>Q138*H138</f>
        <v>0</v>
      </c>
      <c r="S138" s="95">
        <v>0.57999999999999996</v>
      </c>
      <c r="T138" s="96">
        <f>S138*H138</f>
        <v>13.81734</v>
      </c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R138" s="97" t="s">
        <v>83</v>
      </c>
      <c r="AT138" s="97" t="s">
        <v>78</v>
      </c>
      <c r="AU138" s="97" t="s">
        <v>47</v>
      </c>
      <c r="AY138" s="10" t="s">
        <v>75</v>
      </c>
      <c r="BE138" s="98">
        <f>IF(N138="základní",J138,0)</f>
        <v>1638.24</v>
      </c>
      <c r="BF138" s="98">
        <f>IF(N138="snížená",J138,0)</f>
        <v>0</v>
      </c>
      <c r="BG138" s="98">
        <f>IF(N138="zákl. přenesená",J138,0)</f>
        <v>0</v>
      </c>
      <c r="BH138" s="98">
        <f>IF(N138="sníž. přenesená",J138,0)</f>
        <v>0</v>
      </c>
      <c r="BI138" s="98">
        <f>IF(N138="nulová",J138,0)</f>
        <v>0</v>
      </c>
      <c r="BJ138" s="10" t="s">
        <v>46</v>
      </c>
      <c r="BK138" s="98">
        <f>ROUND(I138*H138,2)</f>
        <v>1638.24</v>
      </c>
      <c r="BL138" s="10" t="s">
        <v>83</v>
      </c>
      <c r="BM138" s="97" t="s">
        <v>214</v>
      </c>
    </row>
    <row r="139" spans="1:65" s="1" customFormat="1" ht="39" x14ac:dyDescent="0.2">
      <c r="A139" s="156"/>
      <c r="B139" s="16"/>
      <c r="C139" s="156"/>
      <c r="D139" s="99" t="s">
        <v>84</v>
      </c>
      <c r="E139" s="156"/>
      <c r="F139" s="100" t="s">
        <v>148</v>
      </c>
      <c r="G139" s="156"/>
      <c r="H139" s="156"/>
      <c r="I139" s="101"/>
      <c r="J139" s="156"/>
      <c r="K139" s="156"/>
      <c r="L139" s="16"/>
      <c r="M139" s="102"/>
      <c r="N139" s="103"/>
      <c r="O139" s="27"/>
      <c r="P139" s="27"/>
      <c r="Q139" s="27"/>
      <c r="R139" s="27"/>
      <c r="S139" s="27"/>
      <c r="T139" s="28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T139" s="10" t="s">
        <v>84</v>
      </c>
      <c r="AU139" s="10" t="s">
        <v>47</v>
      </c>
    </row>
    <row r="140" spans="1:65" s="1" customFormat="1" ht="24.2" customHeight="1" x14ac:dyDescent="0.2">
      <c r="A140" s="156"/>
      <c r="B140" s="85"/>
      <c r="C140" s="86" t="s">
        <v>48</v>
      </c>
      <c r="D140" s="86" t="s">
        <v>78</v>
      </c>
      <c r="E140" s="87" t="s">
        <v>151</v>
      </c>
      <c r="F140" s="88" t="s">
        <v>215</v>
      </c>
      <c r="G140" s="89" t="s">
        <v>100</v>
      </c>
      <c r="H140" s="90">
        <v>23.823</v>
      </c>
      <c r="I140" s="91">
        <v>27.886826761540966</v>
      </c>
      <c r="J140" s="92">
        <f>ROUND(I140*H140,2)</f>
        <v>664.35</v>
      </c>
      <c r="K140" s="88" t="s">
        <v>82</v>
      </c>
      <c r="L140" s="16"/>
      <c r="M140" s="93" t="s">
        <v>0</v>
      </c>
      <c r="N140" s="94" t="s">
        <v>27</v>
      </c>
      <c r="O140" s="27"/>
      <c r="P140" s="95">
        <f>O140*H140</f>
        <v>0</v>
      </c>
      <c r="Q140" s="95">
        <v>0</v>
      </c>
      <c r="R140" s="95">
        <f>Q140*H140</f>
        <v>0</v>
      </c>
      <c r="S140" s="95">
        <v>9.8000000000000004E-2</v>
      </c>
      <c r="T140" s="96">
        <f>S140*H140</f>
        <v>2.334654</v>
      </c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R140" s="97" t="s">
        <v>83</v>
      </c>
      <c r="AT140" s="97" t="s">
        <v>78</v>
      </c>
      <c r="AU140" s="97" t="s">
        <v>47</v>
      </c>
      <c r="AY140" s="10" t="s">
        <v>75</v>
      </c>
      <c r="BE140" s="98">
        <f>IF(N140="základní",J140,0)</f>
        <v>664.35</v>
      </c>
      <c r="BF140" s="98">
        <f>IF(N140="snížená",J140,0)</f>
        <v>0</v>
      </c>
      <c r="BG140" s="98">
        <f>IF(N140="zákl. přenesená",J140,0)</f>
        <v>0</v>
      </c>
      <c r="BH140" s="98">
        <f>IF(N140="sníž. přenesená",J140,0)</f>
        <v>0</v>
      </c>
      <c r="BI140" s="98">
        <f>IF(N140="nulová",J140,0)</f>
        <v>0</v>
      </c>
      <c r="BJ140" s="10" t="s">
        <v>46</v>
      </c>
      <c r="BK140" s="98">
        <f>ROUND(I140*H140,2)</f>
        <v>664.35</v>
      </c>
      <c r="BL140" s="10" t="s">
        <v>83</v>
      </c>
      <c r="BM140" s="97" t="s">
        <v>216</v>
      </c>
    </row>
    <row r="141" spans="1:65" s="1" customFormat="1" ht="29.25" x14ac:dyDescent="0.2">
      <c r="A141" s="156"/>
      <c r="B141" s="16"/>
      <c r="C141" s="156"/>
      <c r="D141" s="99" t="s">
        <v>84</v>
      </c>
      <c r="E141" s="156"/>
      <c r="F141" s="100" t="s">
        <v>152</v>
      </c>
      <c r="G141" s="156"/>
      <c r="H141" s="156"/>
      <c r="I141" s="101"/>
      <c r="J141" s="156"/>
      <c r="K141" s="156"/>
      <c r="L141" s="16"/>
      <c r="M141" s="102"/>
      <c r="N141" s="103"/>
      <c r="O141" s="27"/>
      <c r="P141" s="27"/>
      <c r="Q141" s="27"/>
      <c r="R141" s="27"/>
      <c r="S141" s="27"/>
      <c r="T141" s="28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T141" s="10" t="s">
        <v>84</v>
      </c>
      <c r="AU141" s="10" t="s">
        <v>47</v>
      </c>
    </row>
    <row r="142" spans="1:65" s="1" customFormat="1" ht="29.25" x14ac:dyDescent="0.2">
      <c r="A142" s="156"/>
      <c r="B142" s="16"/>
      <c r="C142" s="156"/>
      <c r="D142" s="99" t="s">
        <v>86</v>
      </c>
      <c r="E142" s="156"/>
      <c r="F142" s="104" t="s">
        <v>414</v>
      </c>
      <c r="G142" s="156"/>
      <c r="H142" s="156"/>
      <c r="I142" s="101"/>
      <c r="J142" s="156"/>
      <c r="K142" s="156"/>
      <c r="L142" s="16"/>
      <c r="M142" s="102"/>
      <c r="N142" s="103"/>
      <c r="O142" s="27"/>
      <c r="P142" s="27"/>
      <c r="Q142" s="27"/>
      <c r="R142" s="27"/>
      <c r="S142" s="27"/>
      <c r="T142" s="28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T142" s="10" t="s">
        <v>86</v>
      </c>
      <c r="AU142" s="10" t="s">
        <v>47</v>
      </c>
    </row>
    <row r="143" spans="1:65" s="1" customFormat="1" ht="24.2" customHeight="1" x14ac:dyDescent="0.2">
      <c r="A143" s="156"/>
      <c r="B143" s="85"/>
      <c r="C143" s="86" t="s">
        <v>83</v>
      </c>
      <c r="D143" s="86" t="s">
        <v>78</v>
      </c>
      <c r="E143" s="87" t="s">
        <v>218</v>
      </c>
      <c r="F143" s="88" t="s">
        <v>219</v>
      </c>
      <c r="G143" s="89" t="s">
        <v>100</v>
      </c>
      <c r="H143" s="90">
        <v>2.6469999999999998</v>
      </c>
      <c r="I143" s="91">
        <v>23.091823190584471</v>
      </c>
      <c r="J143" s="92">
        <f>ROUND(I143*H143,2)</f>
        <v>61.12</v>
      </c>
      <c r="K143" s="88" t="s">
        <v>82</v>
      </c>
      <c r="L143" s="16"/>
      <c r="M143" s="93" t="s">
        <v>0</v>
      </c>
      <c r="N143" s="94" t="s">
        <v>27</v>
      </c>
      <c r="O143" s="27"/>
      <c r="P143" s="95">
        <f>O143*H143</f>
        <v>0</v>
      </c>
      <c r="Q143" s="95">
        <v>0</v>
      </c>
      <c r="R143" s="95">
        <f>Q143*H143</f>
        <v>0</v>
      </c>
      <c r="S143" s="95">
        <v>0</v>
      </c>
      <c r="T143" s="96">
        <f>S143*H143</f>
        <v>0</v>
      </c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R143" s="97" t="s">
        <v>83</v>
      </c>
      <c r="AT143" s="97" t="s">
        <v>78</v>
      </c>
      <c r="AU143" s="97" t="s">
        <v>47</v>
      </c>
      <c r="AY143" s="10" t="s">
        <v>75</v>
      </c>
      <c r="BE143" s="98">
        <f>IF(N143="základní",J143,0)</f>
        <v>61.12</v>
      </c>
      <c r="BF143" s="98">
        <f>IF(N143="snížená",J143,0)</f>
        <v>0</v>
      </c>
      <c r="BG143" s="98">
        <f>IF(N143="zákl. přenesená",J143,0)</f>
        <v>0</v>
      </c>
      <c r="BH143" s="98">
        <f>IF(N143="sníž. přenesená",J143,0)</f>
        <v>0</v>
      </c>
      <c r="BI143" s="98">
        <f>IF(N143="nulová",J143,0)</f>
        <v>0</v>
      </c>
      <c r="BJ143" s="10" t="s">
        <v>46</v>
      </c>
      <c r="BK143" s="98">
        <f>ROUND(I143*H143,2)</f>
        <v>61.12</v>
      </c>
      <c r="BL143" s="10" t="s">
        <v>83</v>
      </c>
      <c r="BM143" s="97" t="s">
        <v>220</v>
      </c>
    </row>
    <row r="144" spans="1:65" s="1" customFormat="1" ht="19.5" x14ac:dyDescent="0.2">
      <c r="A144" s="156"/>
      <c r="B144" s="16"/>
      <c r="C144" s="156"/>
      <c r="D144" s="99" t="s">
        <v>84</v>
      </c>
      <c r="E144" s="156"/>
      <c r="F144" s="100" t="s">
        <v>221</v>
      </c>
      <c r="G144" s="156"/>
      <c r="H144" s="156"/>
      <c r="I144" s="101"/>
      <c r="J144" s="156"/>
      <c r="K144" s="156"/>
      <c r="L144" s="16"/>
      <c r="M144" s="102"/>
      <c r="N144" s="103"/>
      <c r="O144" s="27"/>
      <c r="P144" s="27"/>
      <c r="Q144" s="27"/>
      <c r="R144" s="27"/>
      <c r="S144" s="27"/>
      <c r="T144" s="28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T144" s="10" t="s">
        <v>84</v>
      </c>
      <c r="AU144" s="10" t="s">
        <v>47</v>
      </c>
    </row>
    <row r="145" spans="1:65" s="1" customFormat="1" x14ac:dyDescent="0.2">
      <c r="A145" s="171"/>
      <c r="B145" s="16"/>
      <c r="C145" s="171"/>
      <c r="D145" s="99"/>
      <c r="E145" s="171"/>
      <c r="F145" s="100" t="s">
        <v>516</v>
      </c>
      <c r="G145" s="171"/>
      <c r="H145" s="171">
        <f>26.47*0.1</f>
        <v>2.6470000000000002</v>
      </c>
      <c r="I145" s="101"/>
      <c r="J145" s="171"/>
      <c r="K145" s="171"/>
      <c r="L145" s="16"/>
      <c r="M145" s="102"/>
      <c r="N145" s="103"/>
      <c r="O145" s="27"/>
      <c r="P145" s="27"/>
      <c r="Q145" s="27"/>
      <c r="R145" s="27"/>
      <c r="S145" s="27"/>
      <c r="T145" s="28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T145" s="10"/>
      <c r="AU145" s="10"/>
    </row>
    <row r="146" spans="1:65" s="1" customFormat="1" ht="24.2" customHeight="1" x14ac:dyDescent="0.2">
      <c r="A146" s="156"/>
      <c r="B146" s="85"/>
      <c r="C146" s="86" t="s">
        <v>223</v>
      </c>
      <c r="D146" s="86" t="s">
        <v>78</v>
      </c>
      <c r="E146" s="87" t="s">
        <v>79</v>
      </c>
      <c r="F146" s="88" t="s">
        <v>80</v>
      </c>
      <c r="G146" s="89" t="s">
        <v>81</v>
      </c>
      <c r="H146" s="90">
        <v>28.030999999999999</v>
      </c>
      <c r="I146" s="91">
        <v>285.201942457955</v>
      </c>
      <c r="J146" s="92">
        <f>ROUND(I146*H146,2)</f>
        <v>7994.5</v>
      </c>
      <c r="K146" s="88" t="s">
        <v>82</v>
      </c>
      <c r="L146" s="16"/>
      <c r="M146" s="93" t="s">
        <v>0</v>
      </c>
      <c r="N146" s="94" t="s">
        <v>27</v>
      </c>
      <c r="O146" s="27"/>
      <c r="P146" s="95">
        <f>O146*H146</f>
        <v>0</v>
      </c>
      <c r="Q146" s="95">
        <v>0</v>
      </c>
      <c r="R146" s="95">
        <f>Q146*H146</f>
        <v>0</v>
      </c>
      <c r="S146" s="95">
        <v>0</v>
      </c>
      <c r="T146" s="96">
        <f>S146*H146</f>
        <v>0</v>
      </c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R146" s="97" t="s">
        <v>83</v>
      </c>
      <c r="AT146" s="97" t="s">
        <v>78</v>
      </c>
      <c r="AU146" s="97" t="s">
        <v>47</v>
      </c>
      <c r="AY146" s="10" t="s">
        <v>75</v>
      </c>
      <c r="BE146" s="98">
        <f>IF(N146="základní",J146,0)</f>
        <v>7994.5</v>
      </c>
      <c r="BF146" s="98">
        <f>IF(N146="snížená",J146,0)</f>
        <v>0</v>
      </c>
      <c r="BG146" s="98">
        <f>IF(N146="zákl. přenesená",J146,0)</f>
        <v>0</v>
      </c>
      <c r="BH146" s="98">
        <f>IF(N146="sníž. přenesená",J146,0)</f>
        <v>0</v>
      </c>
      <c r="BI146" s="98">
        <f>IF(N146="nulová",J146,0)</f>
        <v>0</v>
      </c>
      <c r="BJ146" s="10" t="s">
        <v>46</v>
      </c>
      <c r="BK146" s="98">
        <f>ROUND(I146*H146,2)</f>
        <v>7994.5</v>
      </c>
      <c r="BL146" s="10" t="s">
        <v>83</v>
      </c>
      <c r="BM146" s="97" t="s">
        <v>224</v>
      </c>
    </row>
    <row r="147" spans="1:65" s="1" customFormat="1" ht="39" x14ac:dyDescent="0.2">
      <c r="A147" s="156"/>
      <c r="B147" s="16"/>
      <c r="C147" s="156"/>
      <c r="D147" s="99" t="s">
        <v>84</v>
      </c>
      <c r="E147" s="156"/>
      <c r="F147" s="100" t="s">
        <v>85</v>
      </c>
      <c r="G147" s="156"/>
      <c r="H147" s="156"/>
      <c r="I147" s="101"/>
      <c r="J147" s="156"/>
      <c r="K147" s="156"/>
      <c r="L147" s="16"/>
      <c r="M147" s="102"/>
      <c r="N147" s="103"/>
      <c r="O147" s="27"/>
      <c r="P147" s="27"/>
      <c r="Q147" s="27"/>
      <c r="R147" s="27"/>
      <c r="S147" s="27"/>
      <c r="T147" s="28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T147" s="10" t="s">
        <v>84</v>
      </c>
      <c r="AU147" s="10" t="s">
        <v>47</v>
      </c>
    </row>
    <row r="148" spans="1:65" s="1" customFormat="1" ht="39" x14ac:dyDescent="0.2">
      <c r="A148" s="156"/>
      <c r="B148" s="16"/>
      <c r="C148" s="156"/>
      <c r="D148" s="99" t="s">
        <v>86</v>
      </c>
      <c r="E148" s="156"/>
      <c r="F148" s="104" t="s">
        <v>415</v>
      </c>
      <c r="G148" s="156"/>
      <c r="H148" s="156"/>
      <c r="I148" s="101"/>
      <c r="J148" s="156"/>
      <c r="K148" s="156"/>
      <c r="L148" s="16"/>
      <c r="M148" s="102"/>
      <c r="N148" s="103"/>
      <c r="O148" s="27"/>
      <c r="P148" s="27"/>
      <c r="Q148" s="27"/>
      <c r="R148" s="27"/>
      <c r="S148" s="27"/>
      <c r="T148" s="28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T148" s="10" t="s">
        <v>86</v>
      </c>
      <c r="AU148" s="10" t="s">
        <v>47</v>
      </c>
    </row>
    <row r="149" spans="1:65" s="6" customFormat="1" ht="22.5" x14ac:dyDescent="0.2">
      <c r="B149" s="105"/>
      <c r="D149" s="99" t="s">
        <v>87</v>
      </c>
      <c r="E149" s="106" t="s">
        <v>0</v>
      </c>
      <c r="F149" s="107" t="s">
        <v>226</v>
      </c>
      <c r="H149" s="106" t="s">
        <v>0</v>
      </c>
      <c r="I149" s="108"/>
      <c r="L149" s="105"/>
      <c r="M149" s="109"/>
      <c r="N149" s="110"/>
      <c r="O149" s="110"/>
      <c r="P149" s="110"/>
      <c r="Q149" s="110"/>
      <c r="R149" s="110"/>
      <c r="S149" s="110"/>
      <c r="T149" s="111"/>
      <c r="AT149" s="106" t="s">
        <v>87</v>
      </c>
      <c r="AU149" s="106" t="s">
        <v>47</v>
      </c>
      <c r="AV149" s="6" t="s">
        <v>46</v>
      </c>
      <c r="AW149" s="6" t="s">
        <v>19</v>
      </c>
      <c r="AX149" s="6" t="s">
        <v>45</v>
      </c>
      <c r="AY149" s="106" t="s">
        <v>75</v>
      </c>
    </row>
    <row r="150" spans="1:65" s="7" customFormat="1" x14ac:dyDescent="0.2">
      <c r="B150" s="112"/>
      <c r="D150" s="99" t="s">
        <v>87</v>
      </c>
      <c r="E150" s="113" t="s">
        <v>0</v>
      </c>
      <c r="F150" s="114" t="s">
        <v>517</v>
      </c>
      <c r="H150" s="115">
        <f>26.47*(2.2-0.45)*0.9</f>
        <v>41.690250000000006</v>
      </c>
      <c r="I150" s="116"/>
      <c r="L150" s="112"/>
      <c r="M150" s="117"/>
      <c r="N150" s="118"/>
      <c r="O150" s="118"/>
      <c r="P150" s="118"/>
      <c r="Q150" s="118"/>
      <c r="R150" s="118"/>
      <c r="S150" s="118"/>
      <c r="T150" s="119"/>
      <c r="AT150" s="113" t="s">
        <v>87</v>
      </c>
      <c r="AU150" s="113" t="s">
        <v>47</v>
      </c>
      <c r="AV150" s="7" t="s">
        <v>47</v>
      </c>
      <c r="AW150" s="7" t="s">
        <v>19</v>
      </c>
      <c r="AX150" s="7" t="s">
        <v>45</v>
      </c>
      <c r="AY150" s="113" t="s">
        <v>75</v>
      </c>
    </row>
    <row r="151" spans="1:65" s="7" customFormat="1" ht="22.5" x14ac:dyDescent="0.2">
      <c r="B151" s="112"/>
      <c r="D151" s="99" t="s">
        <v>87</v>
      </c>
      <c r="E151" s="113" t="s">
        <v>0</v>
      </c>
      <c r="F151" s="114" t="s">
        <v>518</v>
      </c>
      <c r="H151" s="115">
        <f>1.5*1.5*(2.4-0.45)*5-1.5*1*(2.2-0.45)*5</f>
        <v>8.8124999999999982</v>
      </c>
      <c r="I151" s="116"/>
      <c r="L151" s="112"/>
      <c r="M151" s="117"/>
      <c r="N151" s="118"/>
      <c r="O151" s="118"/>
      <c r="P151" s="118"/>
      <c r="Q151" s="118"/>
      <c r="R151" s="118"/>
      <c r="S151" s="118"/>
      <c r="T151" s="119"/>
      <c r="AT151" s="113" t="s">
        <v>87</v>
      </c>
      <c r="AU151" s="113" t="s">
        <v>47</v>
      </c>
      <c r="AV151" s="7" t="s">
        <v>47</v>
      </c>
      <c r="AW151" s="7" t="s">
        <v>19</v>
      </c>
      <c r="AX151" s="7" t="s">
        <v>45</v>
      </c>
      <c r="AY151" s="113" t="s">
        <v>75</v>
      </c>
    </row>
    <row r="152" spans="1:65" s="6" customFormat="1" x14ac:dyDescent="0.2">
      <c r="B152" s="105"/>
      <c r="D152" s="99" t="s">
        <v>87</v>
      </c>
      <c r="E152" s="106" t="s">
        <v>0</v>
      </c>
      <c r="F152" s="107" t="s">
        <v>408</v>
      </c>
      <c r="H152" s="106" t="s">
        <v>0</v>
      </c>
      <c r="I152" s="108"/>
      <c r="L152" s="105"/>
      <c r="M152" s="109"/>
      <c r="N152" s="110"/>
      <c r="O152" s="110"/>
      <c r="P152" s="110"/>
      <c r="Q152" s="110"/>
      <c r="R152" s="110"/>
      <c r="S152" s="110"/>
      <c r="T152" s="111"/>
      <c r="AT152" s="106" t="s">
        <v>87</v>
      </c>
      <c r="AU152" s="106" t="s">
        <v>47</v>
      </c>
      <c r="AV152" s="6" t="s">
        <v>46</v>
      </c>
      <c r="AW152" s="6" t="s">
        <v>19</v>
      </c>
      <c r="AX152" s="6" t="s">
        <v>45</v>
      </c>
      <c r="AY152" s="106" t="s">
        <v>75</v>
      </c>
    </row>
    <row r="153" spans="1:65" s="7" customFormat="1" x14ac:dyDescent="0.2">
      <c r="B153" s="112"/>
      <c r="D153" s="99" t="s">
        <v>87</v>
      </c>
      <c r="E153" s="113" t="s">
        <v>0</v>
      </c>
      <c r="F153" s="114" t="s">
        <v>519</v>
      </c>
      <c r="H153" s="115">
        <f>26.47*(2.2-0.1)*0.1</f>
        <v>5.5587000000000009</v>
      </c>
      <c r="I153" s="116"/>
      <c r="L153" s="112"/>
      <c r="M153" s="117"/>
      <c r="N153" s="118"/>
      <c r="O153" s="118"/>
      <c r="P153" s="118"/>
      <c r="Q153" s="118"/>
      <c r="R153" s="118"/>
      <c r="S153" s="118"/>
      <c r="T153" s="119"/>
      <c r="AT153" s="113" t="s">
        <v>87</v>
      </c>
      <c r="AU153" s="113" t="s">
        <v>47</v>
      </c>
      <c r="AV153" s="7" t="s">
        <v>47</v>
      </c>
      <c r="AW153" s="7" t="s">
        <v>19</v>
      </c>
      <c r="AX153" s="7" t="s">
        <v>45</v>
      </c>
      <c r="AY153" s="113" t="s">
        <v>75</v>
      </c>
    </row>
    <row r="154" spans="1:65" s="8" customFormat="1" x14ac:dyDescent="0.2">
      <c r="B154" s="120"/>
      <c r="D154" s="99" t="s">
        <v>87</v>
      </c>
      <c r="E154" s="121" t="s">
        <v>0</v>
      </c>
      <c r="F154" s="122" t="s">
        <v>88</v>
      </c>
      <c r="H154" s="123">
        <f>H150+H151+H153</f>
        <v>56.061450000000008</v>
      </c>
      <c r="I154" s="124"/>
      <c r="L154" s="120"/>
      <c r="M154" s="125"/>
      <c r="N154" s="126"/>
      <c r="O154" s="126"/>
      <c r="P154" s="126"/>
      <c r="Q154" s="126"/>
      <c r="R154" s="126"/>
      <c r="S154" s="126"/>
      <c r="T154" s="127"/>
      <c r="AT154" s="121" t="s">
        <v>87</v>
      </c>
      <c r="AU154" s="121" t="s">
        <v>47</v>
      </c>
      <c r="AV154" s="8" t="s">
        <v>48</v>
      </c>
      <c r="AW154" s="8" t="s">
        <v>19</v>
      </c>
      <c r="AX154" s="8" t="s">
        <v>45</v>
      </c>
      <c r="AY154" s="121" t="s">
        <v>75</v>
      </c>
    </row>
    <row r="155" spans="1:65" s="7" customFormat="1" x14ac:dyDescent="0.2">
      <c r="B155" s="112"/>
      <c r="D155" s="99" t="s">
        <v>87</v>
      </c>
      <c r="E155" s="113" t="s">
        <v>0</v>
      </c>
      <c r="F155" s="114" t="s">
        <v>520</v>
      </c>
      <c r="H155" s="115">
        <f>H154*0.5</f>
        <v>28.030725000000004</v>
      </c>
      <c r="I155" s="116"/>
      <c r="L155" s="112"/>
      <c r="M155" s="117"/>
      <c r="N155" s="118"/>
      <c r="O155" s="118"/>
      <c r="P155" s="118"/>
      <c r="Q155" s="118"/>
      <c r="R155" s="118"/>
      <c r="S155" s="118"/>
      <c r="T155" s="119"/>
      <c r="AT155" s="113" t="s">
        <v>87</v>
      </c>
      <c r="AU155" s="113" t="s">
        <v>47</v>
      </c>
      <c r="AV155" s="7" t="s">
        <v>47</v>
      </c>
      <c r="AW155" s="7" t="s">
        <v>19</v>
      </c>
      <c r="AX155" s="7" t="s">
        <v>46</v>
      </c>
      <c r="AY155" s="113" t="s">
        <v>75</v>
      </c>
    </row>
    <row r="156" spans="1:65" s="1" customFormat="1" ht="24.2" customHeight="1" x14ac:dyDescent="0.2">
      <c r="A156" s="156"/>
      <c r="B156" s="85"/>
      <c r="C156" s="86" t="s">
        <v>228</v>
      </c>
      <c r="D156" s="86" t="s">
        <v>78</v>
      </c>
      <c r="E156" s="87" t="s">
        <v>90</v>
      </c>
      <c r="F156" s="88" t="s">
        <v>91</v>
      </c>
      <c r="G156" s="89" t="s">
        <v>81</v>
      </c>
      <c r="H156" s="90">
        <v>28.030999999999999</v>
      </c>
      <c r="I156" s="91">
        <v>390.55963566140201</v>
      </c>
      <c r="J156" s="92">
        <f>ROUND(I156*H156,2)</f>
        <v>10947.78</v>
      </c>
      <c r="K156" s="88" t="s">
        <v>82</v>
      </c>
      <c r="L156" s="16"/>
      <c r="M156" s="93" t="s">
        <v>0</v>
      </c>
      <c r="N156" s="94" t="s">
        <v>27</v>
      </c>
      <c r="O156" s="27"/>
      <c r="P156" s="95">
        <f>O156*H156</f>
        <v>0</v>
      </c>
      <c r="Q156" s="95">
        <v>0</v>
      </c>
      <c r="R156" s="95">
        <f>Q156*H156</f>
        <v>0</v>
      </c>
      <c r="S156" s="95">
        <v>0</v>
      </c>
      <c r="T156" s="96">
        <f>S156*H156</f>
        <v>0</v>
      </c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R156" s="97" t="s">
        <v>83</v>
      </c>
      <c r="AT156" s="97" t="s">
        <v>78</v>
      </c>
      <c r="AU156" s="97" t="s">
        <v>47</v>
      </c>
      <c r="AY156" s="10" t="s">
        <v>75</v>
      </c>
      <c r="BE156" s="98">
        <f>IF(N156="základní",J156,0)</f>
        <v>10947.78</v>
      </c>
      <c r="BF156" s="98">
        <f>IF(N156="snížená",J156,0)</f>
        <v>0</v>
      </c>
      <c r="BG156" s="98">
        <f>IF(N156="zákl. přenesená",J156,0)</f>
        <v>0</v>
      </c>
      <c r="BH156" s="98">
        <f>IF(N156="sníž. přenesená",J156,0)</f>
        <v>0</v>
      </c>
      <c r="BI156" s="98">
        <f>IF(N156="nulová",J156,0)</f>
        <v>0</v>
      </c>
      <c r="BJ156" s="10" t="s">
        <v>46</v>
      </c>
      <c r="BK156" s="98">
        <f>ROUND(I156*H156,2)</f>
        <v>10947.78</v>
      </c>
      <c r="BL156" s="10" t="s">
        <v>83</v>
      </c>
      <c r="BM156" s="97" t="s">
        <v>229</v>
      </c>
    </row>
    <row r="157" spans="1:65" s="1" customFormat="1" ht="39" x14ac:dyDescent="0.2">
      <c r="A157" s="156"/>
      <c r="B157" s="16"/>
      <c r="C157" s="156"/>
      <c r="D157" s="99" t="s">
        <v>84</v>
      </c>
      <c r="E157" s="156"/>
      <c r="F157" s="100" t="s">
        <v>92</v>
      </c>
      <c r="G157" s="156"/>
      <c r="H157" s="156"/>
      <c r="I157" s="101"/>
      <c r="J157" s="156"/>
      <c r="K157" s="156"/>
      <c r="L157" s="16"/>
      <c r="M157" s="102"/>
      <c r="N157" s="103"/>
      <c r="O157" s="27"/>
      <c r="P157" s="27"/>
      <c r="Q157" s="27"/>
      <c r="R157" s="27"/>
      <c r="S157" s="27"/>
      <c r="T157" s="28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T157" s="10" t="s">
        <v>84</v>
      </c>
      <c r="AU157" s="10" t="s">
        <v>47</v>
      </c>
    </row>
    <row r="158" spans="1:65" s="1" customFormat="1" ht="39" x14ac:dyDescent="0.2">
      <c r="A158" s="156"/>
      <c r="B158" s="16"/>
      <c r="C158" s="156"/>
      <c r="D158" s="99" t="s">
        <v>86</v>
      </c>
      <c r="E158" s="156"/>
      <c r="F158" s="104" t="s">
        <v>415</v>
      </c>
      <c r="G158" s="156"/>
      <c r="H158" s="156"/>
      <c r="I158" s="101"/>
      <c r="J158" s="156"/>
      <c r="K158" s="156"/>
      <c r="L158" s="16"/>
      <c r="M158" s="102"/>
      <c r="N158" s="103"/>
      <c r="O158" s="27"/>
      <c r="P158" s="27"/>
      <c r="Q158" s="27"/>
      <c r="R158" s="27"/>
      <c r="S158" s="27"/>
      <c r="T158" s="28"/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T158" s="10" t="s">
        <v>86</v>
      </c>
      <c r="AU158" s="10" t="s">
        <v>47</v>
      </c>
    </row>
    <row r="159" spans="1:65" s="1" customFormat="1" ht="24.2" customHeight="1" x14ac:dyDescent="0.2">
      <c r="A159" s="156"/>
      <c r="B159" s="85"/>
      <c r="C159" s="86" t="s">
        <v>230</v>
      </c>
      <c r="D159" s="86" t="s">
        <v>78</v>
      </c>
      <c r="E159" s="87" t="s">
        <v>94</v>
      </c>
      <c r="F159" s="88" t="s">
        <v>95</v>
      </c>
      <c r="G159" s="89" t="s">
        <v>81</v>
      </c>
      <c r="H159" s="90">
        <v>11.212</v>
      </c>
      <c r="I159" s="91">
        <v>650.27058629099099</v>
      </c>
      <c r="J159" s="92">
        <f>ROUND(I159*H159,2)</f>
        <v>7290.83</v>
      </c>
      <c r="K159" s="88" t="s">
        <v>82</v>
      </c>
      <c r="L159" s="16"/>
      <c r="M159" s="93" t="s">
        <v>0</v>
      </c>
      <c r="N159" s="94" t="s">
        <v>27</v>
      </c>
      <c r="O159" s="27"/>
      <c r="P159" s="95">
        <f>O159*H159</f>
        <v>0</v>
      </c>
      <c r="Q159" s="95">
        <v>0</v>
      </c>
      <c r="R159" s="95">
        <f>Q159*H159</f>
        <v>0</v>
      </c>
      <c r="S159" s="95">
        <v>0</v>
      </c>
      <c r="T159" s="96">
        <f>S159*H159</f>
        <v>0</v>
      </c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R159" s="97" t="s">
        <v>83</v>
      </c>
      <c r="AT159" s="97" t="s">
        <v>78</v>
      </c>
      <c r="AU159" s="97" t="s">
        <v>47</v>
      </c>
      <c r="AY159" s="10" t="s">
        <v>75</v>
      </c>
      <c r="BE159" s="98">
        <f>IF(N159="základní",J159,0)</f>
        <v>7290.83</v>
      </c>
      <c r="BF159" s="98">
        <f>IF(N159="snížená",J159,0)</f>
        <v>0</v>
      </c>
      <c r="BG159" s="98">
        <f>IF(N159="zákl. přenesená",J159,0)</f>
        <v>0</v>
      </c>
      <c r="BH159" s="98">
        <f>IF(N159="sníž. přenesená",J159,0)</f>
        <v>0</v>
      </c>
      <c r="BI159" s="98">
        <f>IF(N159="nulová",J159,0)</f>
        <v>0</v>
      </c>
      <c r="BJ159" s="10" t="s">
        <v>46</v>
      </c>
      <c r="BK159" s="98">
        <f>ROUND(I159*H159,2)</f>
        <v>7290.83</v>
      </c>
      <c r="BL159" s="10" t="s">
        <v>83</v>
      </c>
      <c r="BM159" s="97" t="s">
        <v>231</v>
      </c>
    </row>
    <row r="160" spans="1:65" s="1" customFormat="1" ht="29.25" x14ac:dyDescent="0.2">
      <c r="A160" s="156"/>
      <c r="B160" s="16"/>
      <c r="C160" s="156"/>
      <c r="D160" s="99" t="s">
        <v>84</v>
      </c>
      <c r="E160" s="156"/>
      <c r="F160" s="100" t="s">
        <v>96</v>
      </c>
      <c r="G160" s="156"/>
      <c r="H160" s="156"/>
      <c r="I160" s="101"/>
      <c r="J160" s="156"/>
      <c r="K160" s="156"/>
      <c r="L160" s="16"/>
      <c r="M160" s="102"/>
      <c r="N160" s="103"/>
      <c r="O160" s="27"/>
      <c r="P160" s="27"/>
      <c r="Q160" s="27"/>
      <c r="R160" s="27"/>
      <c r="S160" s="27"/>
      <c r="T160" s="28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T160" s="10" t="s">
        <v>84</v>
      </c>
      <c r="AU160" s="10" t="s">
        <v>47</v>
      </c>
    </row>
    <row r="161" spans="1:65" s="6" customFormat="1" x14ac:dyDescent="0.2">
      <c r="B161" s="105"/>
      <c r="D161" s="99" t="s">
        <v>87</v>
      </c>
      <c r="E161" s="106" t="s">
        <v>0</v>
      </c>
      <c r="F161" s="107" t="s">
        <v>97</v>
      </c>
      <c r="H161" s="106" t="s">
        <v>0</v>
      </c>
      <c r="I161" s="108"/>
      <c r="L161" s="105"/>
      <c r="M161" s="109"/>
      <c r="N161" s="110"/>
      <c r="O161" s="110"/>
      <c r="P161" s="110"/>
      <c r="Q161" s="110"/>
      <c r="R161" s="110"/>
      <c r="S161" s="110"/>
      <c r="T161" s="111"/>
      <c r="AT161" s="106" t="s">
        <v>87</v>
      </c>
      <c r="AU161" s="106" t="s">
        <v>47</v>
      </c>
      <c r="AV161" s="6" t="s">
        <v>46</v>
      </c>
      <c r="AW161" s="6" t="s">
        <v>19</v>
      </c>
      <c r="AX161" s="6" t="s">
        <v>45</v>
      </c>
      <c r="AY161" s="106" t="s">
        <v>75</v>
      </c>
    </row>
    <row r="162" spans="1:65" s="7" customFormat="1" x14ac:dyDescent="0.2">
      <c r="B162" s="112"/>
      <c r="D162" s="99" t="s">
        <v>87</v>
      </c>
      <c r="E162" s="113" t="s">
        <v>0</v>
      </c>
      <c r="F162" s="114" t="s">
        <v>521</v>
      </c>
      <c r="H162" s="115">
        <f>56.061*0.2</f>
        <v>11.212200000000001</v>
      </c>
      <c r="I162" s="116"/>
      <c r="L162" s="112"/>
      <c r="M162" s="117"/>
      <c r="N162" s="118"/>
      <c r="O162" s="118"/>
      <c r="P162" s="118"/>
      <c r="Q162" s="118"/>
      <c r="R162" s="118"/>
      <c r="S162" s="118"/>
      <c r="T162" s="119"/>
      <c r="AT162" s="113" t="s">
        <v>87</v>
      </c>
      <c r="AU162" s="113" t="s">
        <v>47</v>
      </c>
      <c r="AV162" s="7" t="s">
        <v>47</v>
      </c>
      <c r="AW162" s="7" t="s">
        <v>19</v>
      </c>
      <c r="AX162" s="7" t="s">
        <v>46</v>
      </c>
      <c r="AY162" s="113" t="s">
        <v>75</v>
      </c>
    </row>
    <row r="163" spans="1:65" s="1" customFormat="1" ht="14.45" customHeight="1" x14ac:dyDescent="0.2">
      <c r="A163" s="156"/>
      <c r="B163" s="85"/>
      <c r="C163" s="86" t="s">
        <v>129</v>
      </c>
      <c r="D163" s="86" t="s">
        <v>78</v>
      </c>
      <c r="E163" s="87" t="s">
        <v>98</v>
      </c>
      <c r="F163" s="88" t="s">
        <v>99</v>
      </c>
      <c r="G163" s="89" t="s">
        <v>100</v>
      </c>
      <c r="H163" s="90">
        <v>116.468</v>
      </c>
      <c r="I163" s="91">
        <v>156.6895922457376</v>
      </c>
      <c r="J163" s="92">
        <f>ROUND(I163*H163,2)</f>
        <v>18249.32</v>
      </c>
      <c r="K163" s="88" t="s">
        <v>82</v>
      </c>
      <c r="L163" s="16"/>
      <c r="M163" s="93" t="s">
        <v>0</v>
      </c>
      <c r="N163" s="94" t="s">
        <v>27</v>
      </c>
      <c r="O163" s="27"/>
      <c r="P163" s="95">
        <f>O163*H163</f>
        <v>0</v>
      </c>
      <c r="Q163" s="95">
        <v>5.9000000000000003E-4</v>
      </c>
      <c r="R163" s="95">
        <f>Q163*H163</f>
        <v>6.8716120000000006E-2</v>
      </c>
      <c r="S163" s="95">
        <v>0</v>
      </c>
      <c r="T163" s="96">
        <f>S163*H163</f>
        <v>0</v>
      </c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R163" s="97" t="s">
        <v>83</v>
      </c>
      <c r="AT163" s="97" t="s">
        <v>78</v>
      </c>
      <c r="AU163" s="97" t="s">
        <v>47</v>
      </c>
      <c r="AY163" s="10" t="s">
        <v>75</v>
      </c>
      <c r="BE163" s="98">
        <f>IF(N163="základní",J163,0)</f>
        <v>18249.32</v>
      </c>
      <c r="BF163" s="98">
        <f>IF(N163="snížená",J163,0)</f>
        <v>0</v>
      </c>
      <c r="BG163" s="98">
        <f>IF(N163="zákl. přenesená",J163,0)</f>
        <v>0</v>
      </c>
      <c r="BH163" s="98">
        <f>IF(N163="sníž. přenesená",J163,0)</f>
        <v>0</v>
      </c>
      <c r="BI163" s="98">
        <f>IF(N163="nulová",J163,0)</f>
        <v>0</v>
      </c>
      <c r="BJ163" s="10" t="s">
        <v>46</v>
      </c>
      <c r="BK163" s="98">
        <f>ROUND(I163*H163,2)</f>
        <v>18249.32</v>
      </c>
      <c r="BL163" s="10" t="s">
        <v>83</v>
      </c>
      <c r="BM163" s="97" t="s">
        <v>232</v>
      </c>
    </row>
    <row r="164" spans="1:65" s="1" customFormat="1" ht="19.5" x14ac:dyDescent="0.2">
      <c r="A164" s="156"/>
      <c r="B164" s="16"/>
      <c r="C164" s="156"/>
      <c r="D164" s="99" t="s">
        <v>84</v>
      </c>
      <c r="E164" s="156"/>
      <c r="F164" s="100" t="s">
        <v>101</v>
      </c>
      <c r="G164" s="156"/>
      <c r="H164" s="156"/>
      <c r="I164" s="101"/>
      <c r="J164" s="156"/>
      <c r="K164" s="156"/>
      <c r="L164" s="16"/>
      <c r="M164" s="102"/>
      <c r="N164" s="103"/>
      <c r="O164" s="27"/>
      <c r="P164" s="27"/>
      <c r="Q164" s="27"/>
      <c r="R164" s="27"/>
      <c r="S164" s="27"/>
      <c r="T164" s="28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T164" s="10" t="s">
        <v>84</v>
      </c>
      <c r="AU164" s="10" t="s">
        <v>47</v>
      </c>
    </row>
    <row r="165" spans="1:65" s="1" customFormat="1" ht="29.25" x14ac:dyDescent="0.2">
      <c r="A165" s="156"/>
      <c r="B165" s="16"/>
      <c r="C165" s="156"/>
      <c r="D165" s="99" t="s">
        <v>86</v>
      </c>
      <c r="E165" s="156"/>
      <c r="F165" s="104" t="s">
        <v>414</v>
      </c>
      <c r="G165" s="156"/>
      <c r="H165" s="156"/>
      <c r="I165" s="101"/>
      <c r="J165" s="156"/>
      <c r="K165" s="156"/>
      <c r="L165" s="16"/>
      <c r="M165" s="102"/>
      <c r="N165" s="103"/>
      <c r="O165" s="27"/>
      <c r="P165" s="27"/>
      <c r="Q165" s="27"/>
      <c r="R165" s="27"/>
      <c r="S165" s="27"/>
      <c r="T165" s="28"/>
      <c r="U165" s="156"/>
      <c r="V165" s="156"/>
      <c r="W165" s="156"/>
      <c r="X165" s="156"/>
      <c r="Y165" s="156"/>
      <c r="Z165" s="156"/>
      <c r="AA165" s="156"/>
      <c r="AB165" s="156"/>
      <c r="AC165" s="156"/>
      <c r="AD165" s="156"/>
      <c r="AE165" s="156"/>
      <c r="AT165" s="10" t="s">
        <v>86</v>
      </c>
      <c r="AU165" s="10" t="s">
        <v>47</v>
      </c>
    </row>
    <row r="166" spans="1:65" s="7" customFormat="1" x14ac:dyDescent="0.2">
      <c r="B166" s="112"/>
      <c r="D166" s="99" t="s">
        <v>87</v>
      </c>
      <c r="E166" s="113" t="s">
        <v>0</v>
      </c>
      <c r="F166" s="114" t="s">
        <v>522</v>
      </c>
      <c r="H166" s="115">
        <f>26.47*2.2*2</f>
        <v>116.468</v>
      </c>
      <c r="I166" s="116"/>
      <c r="L166" s="112"/>
      <c r="M166" s="117"/>
      <c r="N166" s="118"/>
      <c r="O166" s="118"/>
      <c r="P166" s="118"/>
      <c r="Q166" s="118"/>
      <c r="R166" s="118"/>
      <c r="S166" s="118"/>
      <c r="T166" s="119"/>
      <c r="AT166" s="113" t="s">
        <v>87</v>
      </c>
      <c r="AU166" s="113" t="s">
        <v>47</v>
      </c>
      <c r="AV166" s="7" t="s">
        <v>47</v>
      </c>
      <c r="AW166" s="7" t="s">
        <v>19</v>
      </c>
      <c r="AX166" s="7" t="s">
        <v>46</v>
      </c>
      <c r="AY166" s="113" t="s">
        <v>75</v>
      </c>
    </row>
    <row r="167" spans="1:65" s="1" customFormat="1" ht="14.45" customHeight="1" x14ac:dyDescent="0.2">
      <c r="A167" s="156"/>
      <c r="B167" s="85"/>
      <c r="C167" s="86" t="s">
        <v>233</v>
      </c>
      <c r="D167" s="86" t="s">
        <v>78</v>
      </c>
      <c r="E167" s="87" t="s">
        <v>105</v>
      </c>
      <c r="F167" s="88" t="s">
        <v>106</v>
      </c>
      <c r="G167" s="89" t="s">
        <v>100</v>
      </c>
      <c r="H167" s="90">
        <v>116.468</v>
      </c>
      <c r="I167" s="91">
        <v>103.33666316345877</v>
      </c>
      <c r="J167" s="92">
        <f>ROUND(I167*H167,2)</f>
        <v>12035.41</v>
      </c>
      <c r="K167" s="88" t="s">
        <v>82</v>
      </c>
      <c r="L167" s="16"/>
      <c r="M167" s="93" t="s">
        <v>0</v>
      </c>
      <c r="N167" s="94" t="s">
        <v>27</v>
      </c>
      <c r="O167" s="27"/>
      <c r="P167" s="95">
        <f>O167*H167</f>
        <v>0</v>
      </c>
      <c r="Q167" s="95">
        <v>0</v>
      </c>
      <c r="R167" s="95">
        <f>Q167*H167</f>
        <v>0</v>
      </c>
      <c r="S167" s="95">
        <v>0</v>
      </c>
      <c r="T167" s="96">
        <f>S167*H167</f>
        <v>0</v>
      </c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R167" s="97" t="s">
        <v>83</v>
      </c>
      <c r="AT167" s="97" t="s">
        <v>78</v>
      </c>
      <c r="AU167" s="97" t="s">
        <v>47</v>
      </c>
      <c r="AY167" s="10" t="s">
        <v>75</v>
      </c>
      <c r="BE167" s="98">
        <f>IF(N167="základní",J167,0)</f>
        <v>12035.41</v>
      </c>
      <c r="BF167" s="98">
        <f>IF(N167="snížená",J167,0)</f>
        <v>0</v>
      </c>
      <c r="BG167" s="98">
        <f>IF(N167="zákl. přenesená",J167,0)</f>
        <v>0</v>
      </c>
      <c r="BH167" s="98">
        <f>IF(N167="sníž. přenesená",J167,0)</f>
        <v>0</v>
      </c>
      <c r="BI167" s="98">
        <f>IF(N167="nulová",J167,0)</f>
        <v>0</v>
      </c>
      <c r="BJ167" s="10" t="s">
        <v>46</v>
      </c>
      <c r="BK167" s="98">
        <f>ROUND(I167*H167,2)</f>
        <v>12035.41</v>
      </c>
      <c r="BL167" s="10" t="s">
        <v>83</v>
      </c>
      <c r="BM167" s="97" t="s">
        <v>234</v>
      </c>
    </row>
    <row r="168" spans="1:65" s="1" customFormat="1" ht="19.5" x14ac:dyDescent="0.2">
      <c r="A168" s="156"/>
      <c r="B168" s="16"/>
      <c r="C168" s="156"/>
      <c r="D168" s="99" t="s">
        <v>84</v>
      </c>
      <c r="E168" s="156"/>
      <c r="F168" s="100" t="s">
        <v>107</v>
      </c>
      <c r="G168" s="156"/>
      <c r="H168" s="156"/>
      <c r="I168" s="101"/>
      <c r="J168" s="156"/>
      <c r="K168" s="156"/>
      <c r="L168" s="16"/>
      <c r="M168" s="102"/>
      <c r="N168" s="103"/>
      <c r="O168" s="27"/>
      <c r="P168" s="27"/>
      <c r="Q168" s="27"/>
      <c r="R168" s="27"/>
      <c r="S168" s="27"/>
      <c r="T168" s="28"/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T168" s="10" t="s">
        <v>84</v>
      </c>
      <c r="AU168" s="10" t="s">
        <v>47</v>
      </c>
    </row>
    <row r="169" spans="1:65" s="1" customFormat="1" ht="37.9" customHeight="1" x14ac:dyDescent="0.2">
      <c r="A169" s="156"/>
      <c r="B169" s="85"/>
      <c r="C169" s="86" t="s">
        <v>235</v>
      </c>
      <c r="D169" s="86" t="s">
        <v>78</v>
      </c>
      <c r="E169" s="87" t="s">
        <v>109</v>
      </c>
      <c r="F169" s="88" t="s">
        <v>110</v>
      </c>
      <c r="G169" s="89" t="s">
        <v>81</v>
      </c>
      <c r="H169" s="90">
        <v>56.061</v>
      </c>
      <c r="I169" s="91">
        <v>262.06861194786097</v>
      </c>
      <c r="J169" s="92">
        <f>ROUND(I169*H169,2)</f>
        <v>14691.83</v>
      </c>
      <c r="K169" s="88" t="s">
        <v>82</v>
      </c>
      <c r="L169" s="16"/>
      <c r="M169" s="93" t="s">
        <v>0</v>
      </c>
      <c r="N169" s="94" t="s">
        <v>27</v>
      </c>
      <c r="O169" s="27"/>
      <c r="P169" s="95">
        <f>O169*H169</f>
        <v>0</v>
      </c>
      <c r="Q169" s="95">
        <v>0</v>
      </c>
      <c r="R169" s="95">
        <f>Q169*H169</f>
        <v>0</v>
      </c>
      <c r="S169" s="95">
        <v>0</v>
      </c>
      <c r="T169" s="96">
        <f>S169*H169</f>
        <v>0</v>
      </c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R169" s="97" t="s">
        <v>83</v>
      </c>
      <c r="AT169" s="97" t="s">
        <v>78</v>
      </c>
      <c r="AU169" s="97" t="s">
        <v>47</v>
      </c>
      <c r="AY169" s="10" t="s">
        <v>75</v>
      </c>
      <c r="BE169" s="98">
        <f>IF(N169="základní",J169,0)</f>
        <v>14691.83</v>
      </c>
      <c r="BF169" s="98">
        <f>IF(N169="snížená",J169,0)</f>
        <v>0</v>
      </c>
      <c r="BG169" s="98">
        <f>IF(N169="zákl. přenesená",J169,0)</f>
        <v>0</v>
      </c>
      <c r="BH169" s="98">
        <f>IF(N169="sníž. přenesená",J169,0)</f>
        <v>0</v>
      </c>
      <c r="BI169" s="98">
        <f>IF(N169="nulová",J169,0)</f>
        <v>0</v>
      </c>
      <c r="BJ169" s="10" t="s">
        <v>46</v>
      </c>
      <c r="BK169" s="98">
        <f>ROUND(I169*H169,2)</f>
        <v>14691.83</v>
      </c>
      <c r="BL169" s="10" t="s">
        <v>83</v>
      </c>
      <c r="BM169" s="97" t="s">
        <v>236</v>
      </c>
    </row>
    <row r="170" spans="1:65" s="1" customFormat="1" ht="39" x14ac:dyDescent="0.2">
      <c r="A170" s="156"/>
      <c r="B170" s="16"/>
      <c r="C170" s="156"/>
      <c r="D170" s="99" t="s">
        <v>84</v>
      </c>
      <c r="E170" s="156"/>
      <c r="F170" s="100" t="s">
        <v>111</v>
      </c>
      <c r="G170" s="156"/>
      <c r="H170" s="156"/>
      <c r="I170" s="101"/>
      <c r="J170" s="156"/>
      <c r="K170" s="156"/>
      <c r="L170" s="16"/>
      <c r="M170" s="102"/>
      <c r="N170" s="103"/>
      <c r="O170" s="27"/>
      <c r="P170" s="27"/>
      <c r="Q170" s="27"/>
      <c r="R170" s="27"/>
      <c r="S170" s="27"/>
      <c r="T170" s="28"/>
      <c r="U170" s="156"/>
      <c r="V170" s="156"/>
      <c r="W170" s="156"/>
      <c r="X170" s="156"/>
      <c r="Y170" s="156"/>
      <c r="Z170" s="156"/>
      <c r="AA170" s="156"/>
      <c r="AB170" s="156"/>
      <c r="AC170" s="156"/>
      <c r="AD170" s="156"/>
      <c r="AE170" s="156"/>
      <c r="AT170" s="10" t="s">
        <v>84</v>
      </c>
      <c r="AU170" s="10" t="s">
        <v>47</v>
      </c>
    </row>
    <row r="171" spans="1:65" s="6" customFormat="1" x14ac:dyDescent="0.2">
      <c r="B171" s="105"/>
      <c r="D171" s="99" t="s">
        <v>87</v>
      </c>
      <c r="E171" s="106" t="s">
        <v>0</v>
      </c>
      <c r="F171" s="107" t="s">
        <v>140</v>
      </c>
      <c r="H171" s="106" t="s">
        <v>0</v>
      </c>
      <c r="I171" s="108"/>
      <c r="L171" s="105"/>
      <c r="M171" s="109"/>
      <c r="N171" s="110"/>
      <c r="O171" s="110"/>
      <c r="P171" s="110"/>
      <c r="Q171" s="110"/>
      <c r="R171" s="110"/>
      <c r="S171" s="110"/>
      <c r="T171" s="111"/>
      <c r="AT171" s="106" t="s">
        <v>87</v>
      </c>
      <c r="AU171" s="106" t="s">
        <v>47</v>
      </c>
      <c r="AV171" s="6" t="s">
        <v>46</v>
      </c>
      <c r="AW171" s="6" t="s">
        <v>19</v>
      </c>
      <c r="AX171" s="6" t="s">
        <v>45</v>
      </c>
      <c r="AY171" s="106" t="s">
        <v>75</v>
      </c>
    </row>
    <row r="172" spans="1:65" s="7" customFormat="1" x14ac:dyDescent="0.2">
      <c r="B172" s="112"/>
      <c r="D172" s="99" t="s">
        <v>87</v>
      </c>
      <c r="E172" s="113" t="s">
        <v>0</v>
      </c>
      <c r="F172" s="114" t="s">
        <v>523</v>
      </c>
      <c r="H172" s="115">
        <v>56.061</v>
      </c>
      <c r="I172" s="116"/>
      <c r="L172" s="112"/>
      <c r="M172" s="117"/>
      <c r="N172" s="118"/>
      <c r="O172" s="118"/>
      <c r="P172" s="118"/>
      <c r="Q172" s="118"/>
      <c r="R172" s="118"/>
      <c r="S172" s="118"/>
      <c r="T172" s="119"/>
      <c r="AT172" s="113" t="s">
        <v>87</v>
      </c>
      <c r="AU172" s="113" t="s">
        <v>47</v>
      </c>
      <c r="AV172" s="7" t="s">
        <v>47</v>
      </c>
      <c r="AW172" s="7" t="s">
        <v>19</v>
      </c>
      <c r="AX172" s="7" t="s">
        <v>45</v>
      </c>
      <c r="AY172" s="113" t="s">
        <v>75</v>
      </c>
    </row>
    <row r="173" spans="1:65" s="1" customFormat="1" ht="37.9" customHeight="1" x14ac:dyDescent="0.2">
      <c r="A173" s="156"/>
      <c r="B173" s="85"/>
      <c r="C173" s="86" t="s">
        <v>237</v>
      </c>
      <c r="D173" s="86" t="s">
        <v>78</v>
      </c>
      <c r="E173" s="87" t="s">
        <v>238</v>
      </c>
      <c r="F173" s="88" t="s">
        <v>239</v>
      </c>
      <c r="G173" s="89" t="s">
        <v>81</v>
      </c>
      <c r="H173" s="90">
        <v>5.6059999999999999</v>
      </c>
      <c r="I173" s="91">
        <v>282.06861194786097</v>
      </c>
      <c r="J173" s="92">
        <f>ROUND(I173*H173,2)</f>
        <v>1581.28</v>
      </c>
      <c r="K173" s="88" t="s">
        <v>0</v>
      </c>
      <c r="L173" s="16"/>
      <c r="M173" s="93" t="s">
        <v>0</v>
      </c>
      <c r="N173" s="94" t="s">
        <v>27</v>
      </c>
      <c r="O173" s="27"/>
      <c r="P173" s="95">
        <f>O173*H173</f>
        <v>0</v>
      </c>
      <c r="Q173" s="95">
        <v>0</v>
      </c>
      <c r="R173" s="95">
        <f>Q173*H173</f>
        <v>0</v>
      </c>
      <c r="S173" s="95">
        <v>0</v>
      </c>
      <c r="T173" s="96">
        <f>S173*H173</f>
        <v>0</v>
      </c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R173" s="97" t="s">
        <v>83</v>
      </c>
      <c r="AT173" s="97" t="s">
        <v>78</v>
      </c>
      <c r="AU173" s="97" t="s">
        <v>47</v>
      </c>
      <c r="AY173" s="10" t="s">
        <v>75</v>
      </c>
      <c r="BE173" s="98">
        <f>IF(N173="základní",J173,0)</f>
        <v>1581.28</v>
      </c>
      <c r="BF173" s="98">
        <f>IF(N173="snížená",J173,0)</f>
        <v>0</v>
      </c>
      <c r="BG173" s="98">
        <f>IF(N173="zákl. přenesená",J173,0)</f>
        <v>0</v>
      </c>
      <c r="BH173" s="98">
        <f>IF(N173="sníž. přenesená",J173,0)</f>
        <v>0</v>
      </c>
      <c r="BI173" s="98">
        <f>IF(N173="nulová",J173,0)</f>
        <v>0</v>
      </c>
      <c r="BJ173" s="10" t="s">
        <v>46</v>
      </c>
      <c r="BK173" s="98">
        <f>ROUND(I173*H173,2)</f>
        <v>1581.28</v>
      </c>
      <c r="BL173" s="10" t="s">
        <v>83</v>
      </c>
      <c r="BM173" s="97" t="s">
        <v>240</v>
      </c>
    </row>
    <row r="174" spans="1:65" s="1" customFormat="1" ht="39" x14ac:dyDescent="0.2">
      <c r="A174" s="156"/>
      <c r="B174" s="16"/>
      <c r="C174" s="156"/>
      <c r="D174" s="99" t="s">
        <v>84</v>
      </c>
      <c r="E174" s="156"/>
      <c r="F174" s="100" t="s">
        <v>111</v>
      </c>
      <c r="G174" s="156"/>
      <c r="H174" s="156"/>
      <c r="I174" s="101"/>
      <c r="J174" s="156"/>
      <c r="K174" s="156"/>
      <c r="L174" s="16"/>
      <c r="M174" s="102"/>
      <c r="N174" s="103"/>
      <c r="O174" s="27"/>
      <c r="P174" s="27"/>
      <c r="Q174" s="27"/>
      <c r="R174" s="27"/>
      <c r="S174" s="27"/>
      <c r="T174" s="28"/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T174" s="10" t="s">
        <v>84</v>
      </c>
      <c r="AU174" s="10" t="s">
        <v>47</v>
      </c>
    </row>
    <row r="175" spans="1:65" s="1" customFormat="1" x14ac:dyDescent="0.2">
      <c r="A175" s="171"/>
      <c r="B175" s="16"/>
      <c r="C175" s="171"/>
      <c r="D175" s="99"/>
      <c r="E175" s="171"/>
      <c r="F175" s="100" t="s">
        <v>524</v>
      </c>
      <c r="G175" s="171"/>
      <c r="H175" s="171">
        <f>56.061*0.1</f>
        <v>5.6061000000000005</v>
      </c>
      <c r="I175" s="101"/>
      <c r="J175" s="171"/>
      <c r="K175" s="171"/>
      <c r="L175" s="16"/>
      <c r="M175" s="102"/>
      <c r="N175" s="103"/>
      <c r="O175" s="27"/>
      <c r="P175" s="27"/>
      <c r="Q175" s="27"/>
      <c r="R175" s="27"/>
      <c r="S175" s="27"/>
      <c r="T175" s="28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T175" s="10"/>
      <c r="AU175" s="10"/>
    </row>
    <row r="176" spans="1:65" s="1" customFormat="1" ht="37.9" customHeight="1" x14ac:dyDescent="0.2">
      <c r="A176" s="156"/>
      <c r="B176" s="85"/>
      <c r="C176" s="86" t="s">
        <v>77</v>
      </c>
      <c r="D176" s="86" t="s">
        <v>78</v>
      </c>
      <c r="E176" s="87" t="s">
        <v>113</v>
      </c>
      <c r="F176" s="88" t="s">
        <v>114</v>
      </c>
      <c r="G176" s="89" t="s">
        <v>81</v>
      </c>
      <c r="H176" s="90">
        <v>280.30500000000001</v>
      </c>
      <c r="I176" s="91">
        <v>3.4208109177592001</v>
      </c>
      <c r="J176" s="92">
        <f>ROUND(I176*H176,2)</f>
        <v>958.87</v>
      </c>
      <c r="K176" s="88" t="s">
        <v>82</v>
      </c>
      <c r="L176" s="16"/>
      <c r="M176" s="93" t="s">
        <v>0</v>
      </c>
      <c r="N176" s="94" t="s">
        <v>27</v>
      </c>
      <c r="O176" s="27"/>
      <c r="P176" s="95">
        <f>O176*H176</f>
        <v>0</v>
      </c>
      <c r="Q176" s="95">
        <v>0</v>
      </c>
      <c r="R176" s="95">
        <f>Q176*H176</f>
        <v>0</v>
      </c>
      <c r="S176" s="95">
        <v>0</v>
      </c>
      <c r="T176" s="96">
        <f>S176*H176</f>
        <v>0</v>
      </c>
      <c r="U176" s="156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R176" s="97" t="s">
        <v>83</v>
      </c>
      <c r="AT176" s="97" t="s">
        <v>78</v>
      </c>
      <c r="AU176" s="97" t="s">
        <v>47</v>
      </c>
      <c r="AY176" s="10" t="s">
        <v>75</v>
      </c>
      <c r="BE176" s="98">
        <f>IF(N176="základní",J176,0)</f>
        <v>958.87</v>
      </c>
      <c r="BF176" s="98">
        <f>IF(N176="snížená",J176,0)</f>
        <v>0</v>
      </c>
      <c r="BG176" s="98">
        <f>IF(N176="zákl. přenesená",J176,0)</f>
        <v>0</v>
      </c>
      <c r="BH176" s="98">
        <f>IF(N176="sníž. přenesená",J176,0)</f>
        <v>0</v>
      </c>
      <c r="BI176" s="98">
        <f>IF(N176="nulová",J176,0)</f>
        <v>0</v>
      </c>
      <c r="BJ176" s="10" t="s">
        <v>46</v>
      </c>
      <c r="BK176" s="98">
        <f>ROUND(I176*H176,2)</f>
        <v>958.87</v>
      </c>
      <c r="BL176" s="10" t="s">
        <v>83</v>
      </c>
      <c r="BM176" s="97" t="s">
        <v>241</v>
      </c>
    </row>
    <row r="177" spans="1:65" s="1" customFormat="1" ht="48.75" x14ac:dyDescent="0.2">
      <c r="A177" s="156"/>
      <c r="B177" s="16"/>
      <c r="C177" s="156"/>
      <c r="D177" s="99" t="s">
        <v>84</v>
      </c>
      <c r="E177" s="156"/>
      <c r="F177" s="100" t="s">
        <v>115</v>
      </c>
      <c r="G177" s="156"/>
      <c r="H177" s="156"/>
      <c r="I177" s="101"/>
      <c r="J177" s="156"/>
      <c r="K177" s="156"/>
      <c r="L177" s="16"/>
      <c r="M177" s="102"/>
      <c r="N177" s="103"/>
      <c r="O177" s="27"/>
      <c r="P177" s="27"/>
      <c r="Q177" s="27"/>
      <c r="R177" s="27"/>
      <c r="S177" s="27"/>
      <c r="T177" s="28"/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T177" s="10" t="s">
        <v>84</v>
      </c>
      <c r="AU177" s="10" t="s">
        <v>47</v>
      </c>
    </row>
    <row r="178" spans="1:65" s="7" customFormat="1" x14ac:dyDescent="0.2">
      <c r="B178" s="112"/>
      <c r="D178" s="99" t="s">
        <v>87</v>
      </c>
      <c r="F178" s="114" t="s">
        <v>526</v>
      </c>
      <c r="H178" s="115">
        <f>56.061*5</f>
        <v>280.30500000000001</v>
      </c>
      <c r="I178" s="116"/>
      <c r="L178" s="112"/>
      <c r="M178" s="117"/>
      <c r="N178" s="118"/>
      <c r="O178" s="118"/>
      <c r="P178" s="118"/>
      <c r="Q178" s="118"/>
      <c r="R178" s="118"/>
      <c r="S178" s="118"/>
      <c r="T178" s="119"/>
      <c r="AT178" s="113" t="s">
        <v>87</v>
      </c>
      <c r="AU178" s="113" t="s">
        <v>47</v>
      </c>
      <c r="AV178" s="7" t="s">
        <v>47</v>
      </c>
      <c r="AW178" s="7" t="s">
        <v>1</v>
      </c>
      <c r="AX178" s="7" t="s">
        <v>46</v>
      </c>
      <c r="AY178" s="113" t="s">
        <v>75</v>
      </c>
    </row>
    <row r="179" spans="1:65" s="1" customFormat="1" ht="37.9" customHeight="1" x14ac:dyDescent="0.2">
      <c r="A179" s="156"/>
      <c r="B179" s="85"/>
      <c r="C179" s="86" t="s">
        <v>89</v>
      </c>
      <c r="D179" s="86" t="s">
        <v>78</v>
      </c>
      <c r="E179" s="87" t="s">
        <v>242</v>
      </c>
      <c r="F179" s="88" t="s">
        <v>243</v>
      </c>
      <c r="G179" s="89" t="s">
        <v>81</v>
      </c>
      <c r="H179" s="90">
        <v>28.03</v>
      </c>
      <c r="I179" s="91">
        <v>3.4208109177592001</v>
      </c>
      <c r="J179" s="92">
        <f>ROUND(I179*H179,2)</f>
        <v>95.89</v>
      </c>
      <c r="K179" s="88" t="s">
        <v>0</v>
      </c>
      <c r="L179" s="16"/>
      <c r="M179" s="93" t="s">
        <v>0</v>
      </c>
      <c r="N179" s="94" t="s">
        <v>27</v>
      </c>
      <c r="O179" s="27"/>
      <c r="P179" s="95">
        <f>O179*H179</f>
        <v>0</v>
      </c>
      <c r="Q179" s="95">
        <v>0</v>
      </c>
      <c r="R179" s="95">
        <f>Q179*H179</f>
        <v>0</v>
      </c>
      <c r="S179" s="95">
        <v>0</v>
      </c>
      <c r="T179" s="96">
        <f>S179*H179</f>
        <v>0</v>
      </c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R179" s="97" t="s">
        <v>83</v>
      </c>
      <c r="AT179" s="97" t="s">
        <v>78</v>
      </c>
      <c r="AU179" s="97" t="s">
        <v>47</v>
      </c>
      <c r="AY179" s="10" t="s">
        <v>75</v>
      </c>
      <c r="BE179" s="98">
        <f>IF(N179="základní",J179,0)</f>
        <v>95.89</v>
      </c>
      <c r="BF179" s="98">
        <f>IF(N179="snížená",J179,0)</f>
        <v>0</v>
      </c>
      <c r="BG179" s="98">
        <f>IF(N179="zákl. přenesená",J179,0)</f>
        <v>0</v>
      </c>
      <c r="BH179" s="98">
        <f>IF(N179="sníž. přenesená",J179,0)</f>
        <v>0</v>
      </c>
      <c r="BI179" s="98">
        <f>IF(N179="nulová",J179,0)</f>
        <v>0</v>
      </c>
      <c r="BJ179" s="10" t="s">
        <v>46</v>
      </c>
      <c r="BK179" s="98">
        <f>ROUND(I179*H179,2)</f>
        <v>95.89</v>
      </c>
      <c r="BL179" s="10" t="s">
        <v>83</v>
      </c>
      <c r="BM179" s="97" t="s">
        <v>244</v>
      </c>
    </row>
    <row r="180" spans="1:65" s="1" customFormat="1" ht="48.75" x14ac:dyDescent="0.2">
      <c r="A180" s="156"/>
      <c r="B180" s="16"/>
      <c r="C180" s="156"/>
      <c r="D180" s="99" t="s">
        <v>84</v>
      </c>
      <c r="E180" s="156"/>
      <c r="F180" s="100" t="s">
        <v>115</v>
      </c>
      <c r="G180" s="156"/>
      <c r="H180" s="156"/>
      <c r="I180" s="101"/>
      <c r="J180" s="156"/>
      <c r="K180" s="156"/>
      <c r="L180" s="16"/>
      <c r="M180" s="102"/>
      <c r="N180" s="103"/>
      <c r="O180" s="27"/>
      <c r="P180" s="27"/>
      <c r="Q180" s="27"/>
      <c r="R180" s="27"/>
      <c r="S180" s="27"/>
      <c r="T180" s="28"/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T180" s="10" t="s">
        <v>84</v>
      </c>
      <c r="AU180" s="10" t="s">
        <v>47</v>
      </c>
    </row>
    <row r="181" spans="1:65" s="7" customFormat="1" x14ac:dyDescent="0.2">
      <c r="B181" s="112"/>
      <c r="D181" s="99" t="s">
        <v>87</v>
      </c>
      <c r="F181" s="114" t="s">
        <v>525</v>
      </c>
      <c r="H181" s="115">
        <f>5.606*5</f>
        <v>28.03</v>
      </c>
      <c r="I181" s="116"/>
      <c r="L181" s="112"/>
      <c r="M181" s="117"/>
      <c r="N181" s="118"/>
      <c r="O181" s="118"/>
      <c r="P181" s="118"/>
      <c r="Q181" s="118"/>
      <c r="R181" s="118"/>
      <c r="S181" s="118"/>
      <c r="T181" s="119"/>
      <c r="AT181" s="113" t="s">
        <v>87</v>
      </c>
      <c r="AU181" s="113" t="s">
        <v>47</v>
      </c>
      <c r="AV181" s="7" t="s">
        <v>47</v>
      </c>
      <c r="AW181" s="7" t="s">
        <v>1</v>
      </c>
      <c r="AX181" s="7" t="s">
        <v>46</v>
      </c>
      <c r="AY181" s="113" t="s">
        <v>75</v>
      </c>
    </row>
    <row r="182" spans="1:65" s="1" customFormat="1" ht="24.2" customHeight="1" x14ac:dyDescent="0.2">
      <c r="A182" s="156"/>
      <c r="B182" s="85"/>
      <c r="C182" s="86" t="s">
        <v>93</v>
      </c>
      <c r="D182" s="86" t="s">
        <v>78</v>
      </c>
      <c r="E182" s="87" t="s">
        <v>245</v>
      </c>
      <c r="F182" s="88" t="s">
        <v>246</v>
      </c>
      <c r="G182" s="89" t="s">
        <v>81</v>
      </c>
      <c r="H182" s="90">
        <v>5.6059999999999999</v>
      </c>
      <c r="I182" s="91">
        <v>43.080493951075745</v>
      </c>
      <c r="J182" s="92">
        <f>ROUND(I182*H182,2)</f>
        <v>241.51</v>
      </c>
      <c r="K182" s="88" t="s">
        <v>82</v>
      </c>
      <c r="L182" s="16"/>
      <c r="M182" s="93" t="s">
        <v>0</v>
      </c>
      <c r="N182" s="94" t="s">
        <v>27</v>
      </c>
      <c r="O182" s="27"/>
      <c r="P182" s="95">
        <f>O182*H182</f>
        <v>0</v>
      </c>
      <c r="Q182" s="95">
        <v>0</v>
      </c>
      <c r="R182" s="95">
        <f>Q182*H182</f>
        <v>0</v>
      </c>
      <c r="S182" s="95">
        <v>0</v>
      </c>
      <c r="T182" s="96">
        <f>S182*H182</f>
        <v>0</v>
      </c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R182" s="97" t="s">
        <v>83</v>
      </c>
      <c r="AT182" s="97" t="s">
        <v>78</v>
      </c>
      <c r="AU182" s="97" t="s">
        <v>47</v>
      </c>
      <c r="AY182" s="10" t="s">
        <v>75</v>
      </c>
      <c r="BE182" s="98">
        <f>IF(N182="základní",J182,0)</f>
        <v>241.51</v>
      </c>
      <c r="BF182" s="98">
        <f>IF(N182="snížená",J182,0)</f>
        <v>0</v>
      </c>
      <c r="BG182" s="98">
        <f>IF(N182="zákl. přenesená",J182,0)</f>
        <v>0</v>
      </c>
      <c r="BH182" s="98">
        <f>IF(N182="sníž. přenesená",J182,0)</f>
        <v>0</v>
      </c>
      <c r="BI182" s="98">
        <f>IF(N182="nulová",J182,0)</f>
        <v>0</v>
      </c>
      <c r="BJ182" s="10" t="s">
        <v>46</v>
      </c>
      <c r="BK182" s="98">
        <f>ROUND(I182*H182,2)</f>
        <v>241.51</v>
      </c>
      <c r="BL182" s="10" t="s">
        <v>83</v>
      </c>
      <c r="BM182" s="97" t="s">
        <v>247</v>
      </c>
    </row>
    <row r="183" spans="1:65" s="1" customFormat="1" ht="29.25" x14ac:dyDescent="0.2">
      <c r="A183" s="156"/>
      <c r="B183" s="16"/>
      <c r="C183" s="156"/>
      <c r="D183" s="99" t="s">
        <v>84</v>
      </c>
      <c r="E183" s="156"/>
      <c r="F183" s="100" t="s">
        <v>248</v>
      </c>
      <c r="G183" s="156"/>
      <c r="H183" s="156"/>
      <c r="I183" s="101"/>
      <c r="J183" s="156"/>
      <c r="K183" s="156"/>
      <c r="L183" s="16"/>
      <c r="M183" s="102"/>
      <c r="N183" s="103"/>
      <c r="O183" s="27"/>
      <c r="P183" s="27"/>
      <c r="Q183" s="27"/>
      <c r="R183" s="27"/>
      <c r="S183" s="27"/>
      <c r="T183" s="28"/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T183" s="10" t="s">
        <v>84</v>
      </c>
      <c r="AU183" s="10" t="s">
        <v>47</v>
      </c>
    </row>
    <row r="184" spans="1:65" s="1" customFormat="1" ht="24.2" customHeight="1" x14ac:dyDescent="0.2">
      <c r="A184" s="156"/>
      <c r="B184" s="85"/>
      <c r="C184" s="86" t="s">
        <v>4</v>
      </c>
      <c r="D184" s="86" t="s">
        <v>78</v>
      </c>
      <c r="E184" s="87" t="s">
        <v>154</v>
      </c>
      <c r="F184" s="88" t="s">
        <v>155</v>
      </c>
      <c r="G184" s="89" t="s">
        <v>100</v>
      </c>
      <c r="H184" s="90">
        <v>26.47</v>
      </c>
      <c r="I184" s="91">
        <v>6.3644601414457247</v>
      </c>
      <c r="J184" s="92">
        <f>ROUND(I184*H184,2)</f>
        <v>168.47</v>
      </c>
      <c r="K184" s="88" t="s">
        <v>82</v>
      </c>
      <c r="L184" s="16"/>
      <c r="M184" s="93" t="s">
        <v>0</v>
      </c>
      <c r="N184" s="94" t="s">
        <v>27</v>
      </c>
      <c r="O184" s="27"/>
      <c r="P184" s="95">
        <f>O184*H184</f>
        <v>0</v>
      </c>
      <c r="Q184" s="95">
        <v>0</v>
      </c>
      <c r="R184" s="95">
        <f>Q184*H184</f>
        <v>0</v>
      </c>
      <c r="S184" s="95">
        <v>0</v>
      </c>
      <c r="T184" s="96">
        <f>S184*H184</f>
        <v>0</v>
      </c>
      <c r="U184" s="156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R184" s="97" t="s">
        <v>83</v>
      </c>
      <c r="AT184" s="97" t="s">
        <v>78</v>
      </c>
      <c r="AU184" s="97" t="s">
        <v>47</v>
      </c>
      <c r="AY184" s="10" t="s">
        <v>75</v>
      </c>
      <c r="BE184" s="98">
        <f>IF(N184="základní",J184,0)</f>
        <v>168.47</v>
      </c>
      <c r="BF184" s="98">
        <f>IF(N184="snížená",J184,0)</f>
        <v>0</v>
      </c>
      <c r="BG184" s="98">
        <f>IF(N184="zákl. přenesená",J184,0)</f>
        <v>0</v>
      </c>
      <c r="BH184" s="98">
        <f>IF(N184="sníž. přenesená",J184,0)</f>
        <v>0</v>
      </c>
      <c r="BI184" s="98">
        <f>IF(N184="nulová",J184,0)</f>
        <v>0</v>
      </c>
      <c r="BJ184" s="10" t="s">
        <v>46</v>
      </c>
      <c r="BK184" s="98">
        <f>ROUND(I184*H184,2)</f>
        <v>168.47</v>
      </c>
      <c r="BL184" s="10" t="s">
        <v>83</v>
      </c>
      <c r="BM184" s="97" t="s">
        <v>249</v>
      </c>
    </row>
    <row r="185" spans="1:65" s="1" customFormat="1" ht="19.5" x14ac:dyDescent="0.2">
      <c r="A185" s="156"/>
      <c r="B185" s="16"/>
      <c r="C185" s="156"/>
      <c r="D185" s="99" t="s">
        <v>84</v>
      </c>
      <c r="E185" s="156"/>
      <c r="F185" s="100" t="s">
        <v>156</v>
      </c>
      <c r="G185" s="156"/>
      <c r="H185" s="156"/>
      <c r="I185" s="101"/>
      <c r="J185" s="156"/>
      <c r="K185" s="156"/>
      <c r="L185" s="16"/>
      <c r="M185" s="102"/>
      <c r="N185" s="103"/>
      <c r="O185" s="27"/>
      <c r="P185" s="27"/>
      <c r="Q185" s="27"/>
      <c r="R185" s="27"/>
      <c r="S185" s="27"/>
      <c r="T185" s="28"/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T185" s="10" t="s">
        <v>84</v>
      </c>
      <c r="AU185" s="10" t="s">
        <v>47</v>
      </c>
    </row>
    <row r="186" spans="1:65" s="1" customFormat="1" ht="19.5" x14ac:dyDescent="0.2">
      <c r="A186" s="156"/>
      <c r="B186" s="16"/>
      <c r="C186" s="156"/>
      <c r="D186" s="99" t="s">
        <v>86</v>
      </c>
      <c r="E186" s="156"/>
      <c r="F186" s="104" t="s">
        <v>102</v>
      </c>
      <c r="G186" s="156"/>
      <c r="H186" s="156"/>
      <c r="I186" s="101"/>
      <c r="J186" s="156"/>
      <c r="K186" s="156"/>
      <c r="L186" s="16"/>
      <c r="M186" s="102"/>
      <c r="N186" s="103"/>
      <c r="O186" s="27"/>
      <c r="P186" s="27"/>
      <c r="Q186" s="27"/>
      <c r="R186" s="27"/>
      <c r="S186" s="27"/>
      <c r="T186" s="28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T186" s="10" t="s">
        <v>86</v>
      </c>
      <c r="AU186" s="10" t="s">
        <v>47</v>
      </c>
    </row>
    <row r="187" spans="1:65" s="7" customFormat="1" x14ac:dyDescent="0.2">
      <c r="B187" s="112"/>
      <c r="D187" s="99" t="s">
        <v>87</v>
      </c>
      <c r="E187" s="113" t="s">
        <v>0</v>
      </c>
      <c r="F187" s="114" t="s">
        <v>527</v>
      </c>
      <c r="H187" s="115">
        <f>26.47*1</f>
        <v>26.47</v>
      </c>
      <c r="I187" s="116"/>
      <c r="L187" s="112"/>
      <c r="M187" s="117"/>
      <c r="N187" s="118"/>
      <c r="O187" s="118"/>
      <c r="P187" s="118"/>
      <c r="Q187" s="118"/>
      <c r="R187" s="118"/>
      <c r="S187" s="118"/>
      <c r="T187" s="119"/>
      <c r="AT187" s="113" t="s">
        <v>87</v>
      </c>
      <c r="AU187" s="113" t="s">
        <v>47</v>
      </c>
      <c r="AV187" s="7" t="s">
        <v>47</v>
      </c>
      <c r="AW187" s="7" t="s">
        <v>19</v>
      </c>
      <c r="AX187" s="7" t="s">
        <v>45</v>
      </c>
      <c r="AY187" s="113" t="s">
        <v>75</v>
      </c>
    </row>
    <row r="188" spans="1:65" s="1" customFormat="1" ht="24.2" customHeight="1" x14ac:dyDescent="0.2">
      <c r="A188" s="156"/>
      <c r="B188" s="85"/>
      <c r="C188" s="86" t="s">
        <v>104</v>
      </c>
      <c r="D188" s="86" t="s">
        <v>78</v>
      </c>
      <c r="E188" s="87" t="s">
        <v>117</v>
      </c>
      <c r="F188" s="88" t="s">
        <v>118</v>
      </c>
      <c r="G188" s="89" t="s">
        <v>119</v>
      </c>
      <c r="H188" s="90">
        <v>90.819000000000003</v>
      </c>
      <c r="I188" s="91">
        <v>110.6455721</v>
      </c>
      <c r="J188" s="92">
        <f>ROUND(I188*H188,2)</f>
        <v>10048.719999999999</v>
      </c>
      <c r="K188" s="88" t="s">
        <v>82</v>
      </c>
      <c r="L188" s="16"/>
      <c r="M188" s="93" t="s">
        <v>0</v>
      </c>
      <c r="N188" s="94" t="s">
        <v>27</v>
      </c>
      <c r="O188" s="27"/>
      <c r="P188" s="95">
        <f>O188*H188</f>
        <v>0</v>
      </c>
      <c r="Q188" s="95">
        <v>0</v>
      </c>
      <c r="R188" s="95">
        <f>Q188*H188</f>
        <v>0</v>
      </c>
      <c r="S188" s="95">
        <v>0</v>
      </c>
      <c r="T188" s="96">
        <f>S188*H188</f>
        <v>0</v>
      </c>
      <c r="U188" s="156"/>
      <c r="V188" s="156"/>
      <c r="W188" s="156"/>
      <c r="X188" s="156"/>
      <c r="Y188" s="156"/>
      <c r="Z188" s="156"/>
      <c r="AA188" s="156"/>
      <c r="AB188" s="156"/>
      <c r="AC188" s="156"/>
      <c r="AD188" s="156"/>
      <c r="AE188" s="156"/>
      <c r="AR188" s="97" t="s">
        <v>83</v>
      </c>
      <c r="AT188" s="97" t="s">
        <v>78</v>
      </c>
      <c r="AU188" s="97" t="s">
        <v>47</v>
      </c>
      <c r="AY188" s="10" t="s">
        <v>75</v>
      </c>
      <c r="BE188" s="98">
        <f>IF(N188="základní",J188,0)</f>
        <v>10048.719999999999</v>
      </c>
      <c r="BF188" s="98">
        <f>IF(N188="snížená",J188,0)</f>
        <v>0</v>
      </c>
      <c r="BG188" s="98">
        <f>IF(N188="zákl. přenesená",J188,0)</f>
        <v>0</v>
      </c>
      <c r="BH188" s="98">
        <f>IF(N188="sníž. přenesená",J188,0)</f>
        <v>0</v>
      </c>
      <c r="BI188" s="98">
        <f>IF(N188="nulová",J188,0)</f>
        <v>0</v>
      </c>
      <c r="BJ188" s="10" t="s">
        <v>46</v>
      </c>
      <c r="BK188" s="98">
        <f>ROUND(I188*H188,2)</f>
        <v>10048.719999999999</v>
      </c>
      <c r="BL188" s="10" t="s">
        <v>83</v>
      </c>
      <c r="BM188" s="97" t="s">
        <v>251</v>
      </c>
    </row>
    <row r="189" spans="1:65" s="1" customFormat="1" ht="29.25" x14ac:dyDescent="0.2">
      <c r="A189" s="156"/>
      <c r="B189" s="16"/>
      <c r="C189" s="156"/>
      <c r="D189" s="99" t="s">
        <v>84</v>
      </c>
      <c r="E189" s="156"/>
      <c r="F189" s="100" t="s">
        <v>120</v>
      </c>
      <c r="G189" s="156"/>
      <c r="H189" s="156"/>
      <c r="I189" s="101"/>
      <c r="J189" s="156"/>
      <c r="K189" s="156"/>
      <c r="L189" s="16"/>
      <c r="M189" s="102"/>
      <c r="N189" s="103"/>
      <c r="O189" s="27"/>
      <c r="P189" s="27"/>
      <c r="Q189" s="27"/>
      <c r="R189" s="27"/>
      <c r="S189" s="27"/>
      <c r="T189" s="28"/>
      <c r="U189" s="156"/>
      <c r="V189" s="156"/>
      <c r="W189" s="156"/>
      <c r="X189" s="156"/>
      <c r="Y189" s="156"/>
      <c r="Z189" s="156"/>
      <c r="AA189" s="156"/>
      <c r="AB189" s="156"/>
      <c r="AC189" s="156"/>
      <c r="AD189" s="156"/>
      <c r="AE189" s="156"/>
      <c r="AT189" s="10" t="s">
        <v>84</v>
      </c>
      <c r="AU189" s="10" t="s">
        <v>47</v>
      </c>
    </row>
    <row r="190" spans="1:65" s="6" customFormat="1" x14ac:dyDescent="0.2">
      <c r="B190" s="105"/>
      <c r="D190" s="99" t="s">
        <v>87</v>
      </c>
      <c r="E190" s="106" t="s">
        <v>0</v>
      </c>
      <c r="F190" s="107" t="s">
        <v>252</v>
      </c>
      <c r="H190" s="106" t="s">
        <v>0</v>
      </c>
      <c r="I190" s="108"/>
      <c r="L190" s="105"/>
      <c r="M190" s="109"/>
      <c r="N190" s="110"/>
      <c r="O190" s="110"/>
      <c r="P190" s="110"/>
      <c r="Q190" s="110"/>
      <c r="R190" s="110"/>
      <c r="S190" s="110"/>
      <c r="T190" s="111"/>
      <c r="AT190" s="106" t="s">
        <v>87</v>
      </c>
      <c r="AU190" s="106" t="s">
        <v>47</v>
      </c>
      <c r="AV190" s="6" t="s">
        <v>46</v>
      </c>
      <c r="AW190" s="6" t="s">
        <v>19</v>
      </c>
      <c r="AX190" s="6" t="s">
        <v>45</v>
      </c>
      <c r="AY190" s="106" t="s">
        <v>75</v>
      </c>
    </row>
    <row r="191" spans="1:65" s="7" customFormat="1" x14ac:dyDescent="0.2">
      <c r="B191" s="112"/>
      <c r="D191" s="99" t="s">
        <v>87</v>
      </c>
      <c r="E191" s="113" t="s">
        <v>0</v>
      </c>
      <c r="F191" s="114"/>
      <c r="H191" s="115">
        <v>56.061</v>
      </c>
      <c r="I191" s="116"/>
      <c r="L191" s="112"/>
      <c r="M191" s="117"/>
      <c r="N191" s="118"/>
      <c r="O191" s="118"/>
      <c r="P191" s="118"/>
      <c r="Q191" s="118"/>
      <c r="R191" s="118"/>
      <c r="S191" s="118"/>
      <c r="T191" s="119"/>
      <c r="AT191" s="113" t="s">
        <v>87</v>
      </c>
      <c r="AU191" s="113" t="s">
        <v>47</v>
      </c>
      <c r="AV191" s="7" t="s">
        <v>47</v>
      </c>
      <c r="AW191" s="7" t="s">
        <v>19</v>
      </c>
      <c r="AX191" s="7" t="s">
        <v>45</v>
      </c>
      <c r="AY191" s="113" t="s">
        <v>75</v>
      </c>
    </row>
    <row r="192" spans="1:65" s="6" customFormat="1" x14ac:dyDescent="0.2">
      <c r="B192" s="105"/>
      <c r="D192" s="99" t="s">
        <v>87</v>
      </c>
      <c r="E192" s="106" t="s">
        <v>0</v>
      </c>
      <c r="F192" s="107" t="s">
        <v>253</v>
      </c>
      <c r="H192" s="106" t="s">
        <v>0</v>
      </c>
      <c r="I192" s="108"/>
      <c r="L192" s="105"/>
      <c r="M192" s="109"/>
      <c r="N192" s="110"/>
      <c r="O192" s="110"/>
      <c r="P192" s="110"/>
      <c r="Q192" s="110"/>
      <c r="R192" s="110"/>
      <c r="S192" s="110"/>
      <c r="T192" s="111"/>
      <c r="AT192" s="106" t="s">
        <v>87</v>
      </c>
      <c r="AU192" s="106" t="s">
        <v>47</v>
      </c>
      <c r="AV192" s="6" t="s">
        <v>46</v>
      </c>
      <c r="AW192" s="6" t="s">
        <v>19</v>
      </c>
      <c r="AX192" s="6" t="s">
        <v>45</v>
      </c>
      <c r="AY192" s="106" t="s">
        <v>75</v>
      </c>
    </row>
    <row r="193" spans="1:65" s="7" customFormat="1" x14ac:dyDescent="0.2">
      <c r="B193" s="112"/>
      <c r="D193" s="99" t="s">
        <v>87</v>
      </c>
      <c r="E193" s="113" t="s">
        <v>0</v>
      </c>
      <c r="F193" s="114"/>
      <c r="H193" s="115">
        <v>-5.6059999999999999</v>
      </c>
      <c r="I193" s="116"/>
      <c r="L193" s="112"/>
      <c r="M193" s="117"/>
      <c r="N193" s="118"/>
      <c r="O193" s="118"/>
      <c r="P193" s="118"/>
      <c r="Q193" s="118"/>
      <c r="R193" s="118"/>
      <c r="S193" s="118"/>
      <c r="T193" s="119"/>
      <c r="AT193" s="113" t="s">
        <v>87</v>
      </c>
      <c r="AU193" s="113" t="s">
        <v>47</v>
      </c>
      <c r="AV193" s="7" t="s">
        <v>47</v>
      </c>
      <c r="AW193" s="7" t="s">
        <v>19</v>
      </c>
      <c r="AX193" s="7" t="s">
        <v>45</v>
      </c>
      <c r="AY193" s="113" t="s">
        <v>75</v>
      </c>
    </row>
    <row r="194" spans="1:65" s="9" customFormat="1" x14ac:dyDescent="0.2">
      <c r="B194" s="128"/>
      <c r="D194" s="99" t="s">
        <v>87</v>
      </c>
      <c r="E194" s="129" t="s">
        <v>0</v>
      </c>
      <c r="F194" s="130" t="s">
        <v>103</v>
      </c>
      <c r="H194" s="131">
        <f>H191+H193</f>
        <v>50.454999999999998</v>
      </c>
      <c r="I194" s="132"/>
      <c r="L194" s="128"/>
      <c r="M194" s="133"/>
      <c r="N194" s="134"/>
      <c r="O194" s="134"/>
      <c r="P194" s="134"/>
      <c r="Q194" s="134"/>
      <c r="R194" s="134"/>
      <c r="S194" s="134"/>
      <c r="T194" s="135"/>
      <c r="AT194" s="129" t="s">
        <v>87</v>
      </c>
      <c r="AU194" s="129" t="s">
        <v>47</v>
      </c>
      <c r="AV194" s="9" t="s">
        <v>83</v>
      </c>
      <c r="AW194" s="9" t="s">
        <v>19</v>
      </c>
      <c r="AX194" s="9" t="s">
        <v>46</v>
      </c>
      <c r="AY194" s="129" t="s">
        <v>75</v>
      </c>
    </row>
    <row r="195" spans="1:65" s="7" customFormat="1" x14ac:dyDescent="0.2">
      <c r="B195" s="112"/>
      <c r="D195" s="99" t="s">
        <v>87</v>
      </c>
      <c r="F195" s="114" t="s">
        <v>416</v>
      </c>
      <c r="H195" s="115">
        <f>H194*1.8</f>
        <v>90.819000000000003</v>
      </c>
      <c r="I195" s="116"/>
      <c r="L195" s="112"/>
      <c r="M195" s="117"/>
      <c r="N195" s="118"/>
      <c r="O195" s="118"/>
      <c r="P195" s="118"/>
      <c r="Q195" s="118"/>
      <c r="R195" s="118"/>
      <c r="S195" s="118"/>
      <c r="T195" s="119"/>
      <c r="AT195" s="113" t="s">
        <v>87</v>
      </c>
      <c r="AU195" s="113" t="s">
        <v>47</v>
      </c>
      <c r="AV195" s="7" t="s">
        <v>47</v>
      </c>
      <c r="AW195" s="7" t="s">
        <v>1</v>
      </c>
      <c r="AX195" s="7" t="s">
        <v>46</v>
      </c>
      <c r="AY195" s="113" t="s">
        <v>75</v>
      </c>
    </row>
    <row r="196" spans="1:65" s="1" customFormat="1" ht="24.2" customHeight="1" x14ac:dyDescent="0.2">
      <c r="A196" s="156"/>
      <c r="B196" s="85"/>
      <c r="C196" s="86" t="s">
        <v>108</v>
      </c>
      <c r="D196" s="86" t="s">
        <v>78</v>
      </c>
      <c r="E196" s="87" t="s">
        <v>121</v>
      </c>
      <c r="F196" s="88" t="s">
        <v>122</v>
      </c>
      <c r="G196" s="89" t="s">
        <v>81</v>
      </c>
      <c r="H196" s="90">
        <v>51.691000000000003</v>
      </c>
      <c r="I196" s="91">
        <v>140.64048227116101</v>
      </c>
      <c r="J196" s="92">
        <f>ROUND(I196*H196,2)</f>
        <v>7269.85</v>
      </c>
      <c r="K196" s="88" t="s">
        <v>82</v>
      </c>
      <c r="L196" s="16"/>
      <c r="M196" s="93" t="s">
        <v>0</v>
      </c>
      <c r="N196" s="94" t="s">
        <v>27</v>
      </c>
      <c r="O196" s="27"/>
      <c r="P196" s="95">
        <f>O196*H196</f>
        <v>0</v>
      </c>
      <c r="Q196" s="95">
        <v>0</v>
      </c>
      <c r="R196" s="95">
        <f>Q196*H196</f>
        <v>0</v>
      </c>
      <c r="S196" s="95">
        <v>0</v>
      </c>
      <c r="T196" s="96">
        <f>S196*H196</f>
        <v>0</v>
      </c>
      <c r="U196" s="156"/>
      <c r="V196" s="156"/>
      <c r="W196" s="156"/>
      <c r="X196" s="156"/>
      <c r="Y196" s="156"/>
      <c r="Z196" s="156"/>
      <c r="AA196" s="156"/>
      <c r="AB196" s="156"/>
      <c r="AC196" s="156"/>
      <c r="AD196" s="156"/>
      <c r="AE196" s="156"/>
      <c r="AR196" s="97" t="s">
        <v>83</v>
      </c>
      <c r="AT196" s="97" t="s">
        <v>78</v>
      </c>
      <c r="AU196" s="97" t="s">
        <v>47</v>
      </c>
      <c r="AY196" s="10" t="s">
        <v>75</v>
      </c>
      <c r="BE196" s="98">
        <f>IF(N196="základní",J196,0)</f>
        <v>7269.85</v>
      </c>
      <c r="BF196" s="98">
        <f>IF(N196="snížená",J196,0)</f>
        <v>0</v>
      </c>
      <c r="BG196" s="98">
        <f>IF(N196="zákl. přenesená",J196,0)</f>
        <v>0</v>
      </c>
      <c r="BH196" s="98">
        <f>IF(N196="sníž. přenesená",J196,0)</f>
        <v>0</v>
      </c>
      <c r="BI196" s="98">
        <f>IF(N196="nulová",J196,0)</f>
        <v>0</v>
      </c>
      <c r="BJ196" s="10" t="s">
        <v>46</v>
      </c>
      <c r="BK196" s="98">
        <f>ROUND(I196*H196,2)</f>
        <v>7269.85</v>
      </c>
      <c r="BL196" s="10" t="s">
        <v>83</v>
      </c>
      <c r="BM196" s="97" t="s">
        <v>254</v>
      </c>
    </row>
    <row r="197" spans="1:65" s="1" customFormat="1" ht="29.25" x14ac:dyDescent="0.2">
      <c r="A197" s="156"/>
      <c r="B197" s="16"/>
      <c r="C197" s="156"/>
      <c r="D197" s="99" t="s">
        <v>84</v>
      </c>
      <c r="E197" s="156"/>
      <c r="F197" s="100" t="s">
        <v>123</v>
      </c>
      <c r="G197" s="156"/>
      <c r="H197" s="156"/>
      <c r="I197" s="101"/>
      <c r="J197" s="156"/>
      <c r="K197" s="156"/>
      <c r="L197" s="16"/>
      <c r="M197" s="102"/>
      <c r="N197" s="103"/>
      <c r="O197" s="27"/>
      <c r="P197" s="27"/>
      <c r="Q197" s="27"/>
      <c r="R197" s="27"/>
      <c r="S197" s="27"/>
      <c r="T197" s="28"/>
      <c r="U197" s="156"/>
      <c r="V197" s="156"/>
      <c r="W197" s="156"/>
      <c r="X197" s="156"/>
      <c r="Y197" s="156"/>
      <c r="Z197" s="156"/>
      <c r="AA197" s="156"/>
      <c r="AB197" s="156"/>
      <c r="AC197" s="156"/>
      <c r="AD197" s="156"/>
      <c r="AE197" s="156"/>
      <c r="AT197" s="10" t="s">
        <v>84</v>
      </c>
      <c r="AU197" s="10" t="s">
        <v>47</v>
      </c>
    </row>
    <row r="198" spans="1:65" s="6" customFormat="1" x14ac:dyDescent="0.2">
      <c r="B198" s="105"/>
      <c r="D198" s="99" t="s">
        <v>87</v>
      </c>
      <c r="E198" s="106" t="s">
        <v>0</v>
      </c>
      <c r="F198" s="107" t="s">
        <v>124</v>
      </c>
      <c r="H198" s="106" t="s">
        <v>0</v>
      </c>
      <c r="I198" s="108"/>
      <c r="L198" s="105"/>
      <c r="M198" s="109"/>
      <c r="N198" s="110"/>
      <c r="O198" s="110"/>
      <c r="P198" s="110"/>
      <c r="Q198" s="110"/>
      <c r="R198" s="110"/>
      <c r="S198" s="110"/>
      <c r="T198" s="111"/>
      <c r="AT198" s="106" t="s">
        <v>87</v>
      </c>
      <c r="AU198" s="106" t="s">
        <v>47</v>
      </c>
      <c r="AV198" s="6" t="s">
        <v>46</v>
      </c>
      <c r="AW198" s="6" t="s">
        <v>19</v>
      </c>
      <c r="AX198" s="6" t="s">
        <v>45</v>
      </c>
      <c r="AY198" s="106" t="s">
        <v>75</v>
      </c>
    </row>
    <row r="199" spans="1:65" s="7" customFormat="1" x14ac:dyDescent="0.2">
      <c r="B199" s="112"/>
      <c r="D199" s="99" t="s">
        <v>87</v>
      </c>
      <c r="E199" s="113" t="s">
        <v>0</v>
      </c>
      <c r="F199" s="114" t="s">
        <v>523</v>
      </c>
      <c r="H199" s="115">
        <f>28.031+28.031</f>
        <v>56.061999999999998</v>
      </c>
      <c r="I199" s="116"/>
      <c r="L199" s="112"/>
      <c r="M199" s="117"/>
      <c r="N199" s="118"/>
      <c r="O199" s="118"/>
      <c r="P199" s="118"/>
      <c r="Q199" s="118"/>
      <c r="R199" s="118"/>
      <c r="S199" s="118"/>
      <c r="T199" s="119"/>
      <c r="AT199" s="113" t="s">
        <v>87</v>
      </c>
      <c r="AU199" s="113" t="s">
        <v>47</v>
      </c>
      <c r="AV199" s="7" t="s">
        <v>47</v>
      </c>
      <c r="AW199" s="7" t="s">
        <v>19</v>
      </c>
      <c r="AX199" s="7" t="s">
        <v>45</v>
      </c>
      <c r="AY199" s="113" t="s">
        <v>75</v>
      </c>
    </row>
    <row r="200" spans="1:65" s="6" customFormat="1" x14ac:dyDescent="0.2">
      <c r="B200" s="105"/>
      <c r="D200" s="99" t="s">
        <v>87</v>
      </c>
      <c r="E200" s="106" t="s">
        <v>0</v>
      </c>
      <c r="F200" s="107" t="s">
        <v>157</v>
      </c>
      <c r="H200" s="106" t="s">
        <v>0</v>
      </c>
      <c r="I200" s="108"/>
      <c r="L200" s="105"/>
      <c r="M200" s="109"/>
      <c r="N200" s="110"/>
      <c r="O200" s="110"/>
      <c r="P200" s="110"/>
      <c r="Q200" s="110"/>
      <c r="R200" s="110"/>
      <c r="S200" s="110"/>
      <c r="T200" s="111"/>
      <c r="AT200" s="106" t="s">
        <v>87</v>
      </c>
      <c r="AU200" s="106" t="s">
        <v>47</v>
      </c>
      <c r="AV200" s="6" t="s">
        <v>46</v>
      </c>
      <c r="AW200" s="6" t="s">
        <v>19</v>
      </c>
      <c r="AX200" s="6" t="s">
        <v>45</v>
      </c>
      <c r="AY200" s="106" t="s">
        <v>75</v>
      </c>
    </row>
    <row r="201" spans="1:65" s="7" customFormat="1" x14ac:dyDescent="0.2">
      <c r="B201" s="112"/>
      <c r="D201" s="99" t="s">
        <v>87</v>
      </c>
      <c r="E201" s="113" t="s">
        <v>0</v>
      </c>
      <c r="F201" s="114">
        <v>-11.912000000000001</v>
      </c>
      <c r="H201" s="115">
        <v>-11.912000000000001</v>
      </c>
      <c r="I201" s="116"/>
      <c r="L201" s="112"/>
      <c r="M201" s="117"/>
      <c r="N201" s="118"/>
      <c r="O201" s="118"/>
      <c r="P201" s="118"/>
      <c r="Q201" s="118"/>
      <c r="R201" s="118"/>
      <c r="S201" s="118"/>
      <c r="T201" s="119"/>
      <c r="AT201" s="113" t="s">
        <v>87</v>
      </c>
      <c r="AU201" s="113" t="s">
        <v>47</v>
      </c>
      <c r="AV201" s="7" t="s">
        <v>47</v>
      </c>
      <c r="AW201" s="7" t="s">
        <v>19</v>
      </c>
      <c r="AX201" s="7" t="s">
        <v>45</v>
      </c>
      <c r="AY201" s="113" t="s">
        <v>75</v>
      </c>
    </row>
    <row r="202" spans="1:65" s="6" customFormat="1" x14ac:dyDescent="0.2">
      <c r="B202" s="105"/>
      <c r="D202" s="99" t="s">
        <v>87</v>
      </c>
      <c r="E202" s="106" t="s">
        <v>0</v>
      </c>
      <c r="F202" s="107" t="s">
        <v>158</v>
      </c>
      <c r="H202" s="106" t="s">
        <v>0</v>
      </c>
      <c r="I202" s="108"/>
      <c r="L202" s="105"/>
      <c r="M202" s="109"/>
      <c r="N202" s="110"/>
      <c r="O202" s="110"/>
      <c r="P202" s="110"/>
      <c r="Q202" s="110"/>
      <c r="R202" s="110"/>
      <c r="S202" s="110"/>
      <c r="T202" s="111"/>
      <c r="AT202" s="106" t="s">
        <v>87</v>
      </c>
      <c r="AU202" s="106" t="s">
        <v>47</v>
      </c>
      <c r="AV202" s="6" t="s">
        <v>46</v>
      </c>
      <c r="AW202" s="6" t="s">
        <v>19</v>
      </c>
      <c r="AX202" s="6" t="s">
        <v>45</v>
      </c>
      <c r="AY202" s="106" t="s">
        <v>75</v>
      </c>
    </row>
    <row r="203" spans="1:65" s="7" customFormat="1" x14ac:dyDescent="0.2">
      <c r="B203" s="112"/>
      <c r="D203" s="99" t="s">
        <v>87</v>
      </c>
      <c r="E203" s="113" t="s">
        <v>0</v>
      </c>
      <c r="F203" s="114">
        <v>-2.6469999999999998</v>
      </c>
      <c r="H203" s="115">
        <v>-2.6469999999999998</v>
      </c>
      <c r="I203" s="116"/>
      <c r="L203" s="112"/>
      <c r="M203" s="117"/>
      <c r="N203" s="118"/>
      <c r="O203" s="118"/>
      <c r="P203" s="118"/>
      <c r="Q203" s="118"/>
      <c r="R203" s="118"/>
      <c r="S203" s="118"/>
      <c r="T203" s="119"/>
      <c r="AT203" s="113" t="s">
        <v>87</v>
      </c>
      <c r="AU203" s="113" t="s">
        <v>47</v>
      </c>
      <c r="AV203" s="7" t="s">
        <v>47</v>
      </c>
      <c r="AW203" s="7" t="s">
        <v>19</v>
      </c>
      <c r="AX203" s="7" t="s">
        <v>45</v>
      </c>
      <c r="AY203" s="113" t="s">
        <v>75</v>
      </c>
    </row>
    <row r="204" spans="1:65" s="6" customFormat="1" x14ac:dyDescent="0.2">
      <c r="B204" s="105"/>
      <c r="D204" s="99" t="s">
        <v>87</v>
      </c>
      <c r="E204" s="106" t="s">
        <v>0</v>
      </c>
      <c r="F204" s="107" t="s">
        <v>159</v>
      </c>
      <c r="H204" s="106" t="s">
        <v>0</v>
      </c>
      <c r="I204" s="108"/>
      <c r="L204" s="105"/>
      <c r="M204" s="109"/>
      <c r="N204" s="110"/>
      <c r="O204" s="110"/>
      <c r="P204" s="110"/>
      <c r="Q204" s="110"/>
      <c r="R204" s="110"/>
      <c r="S204" s="110"/>
      <c r="T204" s="111"/>
      <c r="AT204" s="106" t="s">
        <v>87</v>
      </c>
      <c r="AU204" s="106" t="s">
        <v>47</v>
      </c>
      <c r="AV204" s="6" t="s">
        <v>46</v>
      </c>
      <c r="AW204" s="6" t="s">
        <v>19</v>
      </c>
      <c r="AX204" s="6" t="s">
        <v>45</v>
      </c>
      <c r="AY204" s="106" t="s">
        <v>75</v>
      </c>
    </row>
    <row r="205" spans="1:65" s="7" customFormat="1" x14ac:dyDescent="0.2">
      <c r="B205" s="112"/>
      <c r="D205" s="99" t="s">
        <v>87</v>
      </c>
      <c r="E205" s="113" t="s">
        <v>0</v>
      </c>
      <c r="F205" s="114" t="s">
        <v>417</v>
      </c>
      <c r="H205" s="115">
        <v>-0.4</v>
      </c>
      <c r="I205" s="116"/>
      <c r="L205" s="112"/>
      <c r="M205" s="117"/>
      <c r="N205" s="118"/>
      <c r="O205" s="118"/>
      <c r="P205" s="118"/>
      <c r="Q205" s="118"/>
      <c r="R205" s="118"/>
      <c r="S205" s="118"/>
      <c r="T205" s="119"/>
      <c r="AT205" s="113" t="s">
        <v>87</v>
      </c>
      <c r="AU205" s="113" t="s">
        <v>47</v>
      </c>
      <c r="AV205" s="7" t="s">
        <v>47</v>
      </c>
      <c r="AW205" s="7" t="s">
        <v>19</v>
      </c>
      <c r="AX205" s="7" t="s">
        <v>45</v>
      </c>
      <c r="AY205" s="113" t="s">
        <v>75</v>
      </c>
    </row>
    <row r="206" spans="1:65" s="6" customFormat="1" x14ac:dyDescent="0.2">
      <c r="B206" s="105"/>
      <c r="D206" s="99" t="s">
        <v>87</v>
      </c>
      <c r="E206" s="106" t="s">
        <v>0</v>
      </c>
      <c r="F206" s="107" t="s">
        <v>160</v>
      </c>
      <c r="H206" s="106" t="s">
        <v>0</v>
      </c>
      <c r="I206" s="108"/>
      <c r="L206" s="105"/>
      <c r="M206" s="109"/>
      <c r="N206" s="110"/>
      <c r="O206" s="110"/>
      <c r="P206" s="110"/>
      <c r="Q206" s="110"/>
      <c r="R206" s="110"/>
      <c r="S206" s="110"/>
      <c r="T206" s="111"/>
      <c r="AT206" s="106" t="s">
        <v>87</v>
      </c>
      <c r="AU206" s="106" t="s">
        <v>47</v>
      </c>
      <c r="AV206" s="6" t="s">
        <v>46</v>
      </c>
      <c r="AW206" s="6" t="s">
        <v>19</v>
      </c>
      <c r="AX206" s="6" t="s">
        <v>45</v>
      </c>
      <c r="AY206" s="106" t="s">
        <v>75</v>
      </c>
    </row>
    <row r="207" spans="1:65" s="7" customFormat="1" x14ac:dyDescent="0.2">
      <c r="B207" s="112"/>
      <c r="D207" s="99" t="s">
        <v>87</v>
      </c>
      <c r="E207" s="113" t="s">
        <v>0</v>
      </c>
      <c r="F207" s="114" t="s">
        <v>532</v>
      </c>
      <c r="H207" s="115">
        <f>26.47*(0.45-0.05)</f>
        <v>10.588000000000001</v>
      </c>
      <c r="I207" s="116"/>
      <c r="L207" s="112"/>
      <c r="M207" s="117"/>
      <c r="N207" s="118"/>
      <c r="O207" s="118"/>
      <c r="P207" s="118"/>
      <c r="Q207" s="118"/>
      <c r="R207" s="118"/>
      <c r="S207" s="118"/>
      <c r="T207" s="119"/>
      <c r="AT207" s="113" t="s">
        <v>87</v>
      </c>
      <c r="AU207" s="113" t="s">
        <v>47</v>
      </c>
      <c r="AV207" s="7" t="s">
        <v>47</v>
      </c>
      <c r="AW207" s="7" t="s">
        <v>19</v>
      </c>
      <c r="AX207" s="7" t="s">
        <v>45</v>
      </c>
      <c r="AY207" s="113" t="s">
        <v>75</v>
      </c>
    </row>
    <row r="208" spans="1:65" s="9" customFormat="1" x14ac:dyDescent="0.2">
      <c r="B208" s="128"/>
      <c r="D208" s="99" t="s">
        <v>87</v>
      </c>
      <c r="E208" s="129" t="s">
        <v>0</v>
      </c>
      <c r="F208" s="130" t="s">
        <v>103</v>
      </c>
      <c r="H208" s="131">
        <f>H199+H201+H203+H205+H207</f>
        <v>51.691000000000003</v>
      </c>
      <c r="I208" s="132"/>
      <c r="L208" s="128"/>
      <c r="M208" s="133"/>
      <c r="N208" s="134"/>
      <c r="O208" s="134"/>
      <c r="P208" s="134"/>
      <c r="Q208" s="134"/>
      <c r="R208" s="134"/>
      <c r="S208" s="134"/>
      <c r="T208" s="135"/>
      <c r="AT208" s="129" t="s">
        <v>87</v>
      </c>
      <c r="AU208" s="129" t="s">
        <v>47</v>
      </c>
      <c r="AV208" s="9" t="s">
        <v>83</v>
      </c>
      <c r="AW208" s="9" t="s">
        <v>19</v>
      </c>
      <c r="AX208" s="9" t="s">
        <v>46</v>
      </c>
      <c r="AY208" s="129" t="s">
        <v>75</v>
      </c>
    </row>
    <row r="209" spans="1:65" s="1" customFormat="1" ht="14.45" customHeight="1" x14ac:dyDescent="0.2">
      <c r="A209" s="156"/>
      <c r="B209" s="85"/>
      <c r="C209" s="136" t="s">
        <v>112</v>
      </c>
      <c r="D209" s="136" t="s">
        <v>126</v>
      </c>
      <c r="E209" s="137" t="s">
        <v>127</v>
      </c>
      <c r="F209" s="138" t="s">
        <v>128</v>
      </c>
      <c r="G209" s="139" t="s">
        <v>119</v>
      </c>
      <c r="H209" s="140">
        <v>103.38200000000001</v>
      </c>
      <c r="I209" s="141">
        <v>390.0974172</v>
      </c>
      <c r="J209" s="142">
        <f>ROUND(I209*H209,2)</f>
        <v>40329.050000000003</v>
      </c>
      <c r="K209" s="138" t="s">
        <v>82</v>
      </c>
      <c r="L209" s="143"/>
      <c r="M209" s="144" t="s">
        <v>0</v>
      </c>
      <c r="N209" s="145" t="s">
        <v>27</v>
      </c>
      <c r="O209" s="27"/>
      <c r="P209" s="95">
        <f>O209*H209</f>
        <v>0</v>
      </c>
      <c r="Q209" s="95">
        <v>1</v>
      </c>
      <c r="R209" s="95">
        <f>Q209*H209</f>
        <v>103.38200000000001</v>
      </c>
      <c r="S209" s="95">
        <v>0</v>
      </c>
      <c r="T209" s="96">
        <f>S209*H209</f>
        <v>0</v>
      </c>
      <c r="U209" s="156"/>
      <c r="V209" s="156"/>
      <c r="W209" s="156"/>
      <c r="X209" s="156"/>
      <c r="Y209" s="156"/>
      <c r="Z209" s="156"/>
      <c r="AA209" s="156"/>
      <c r="AB209" s="156"/>
      <c r="AC209" s="156"/>
      <c r="AD209" s="156"/>
      <c r="AE209" s="156"/>
      <c r="AR209" s="97" t="s">
        <v>129</v>
      </c>
      <c r="AT209" s="97" t="s">
        <v>126</v>
      </c>
      <c r="AU209" s="97" t="s">
        <v>47</v>
      </c>
      <c r="AY209" s="10" t="s">
        <v>75</v>
      </c>
      <c r="BE209" s="98">
        <f>IF(N209="základní",J209,0)</f>
        <v>40329.050000000003</v>
      </c>
      <c r="BF209" s="98">
        <f>IF(N209="snížená",J209,0)</f>
        <v>0</v>
      </c>
      <c r="BG209" s="98">
        <f>IF(N209="zákl. přenesená",J209,0)</f>
        <v>0</v>
      </c>
      <c r="BH209" s="98">
        <f>IF(N209="sníž. přenesená",J209,0)</f>
        <v>0</v>
      </c>
      <c r="BI209" s="98">
        <f>IF(N209="nulová",J209,0)</f>
        <v>0</v>
      </c>
      <c r="BJ209" s="10" t="s">
        <v>46</v>
      </c>
      <c r="BK209" s="98">
        <f>ROUND(I209*H209,2)</f>
        <v>40329.050000000003</v>
      </c>
      <c r="BL209" s="10" t="s">
        <v>83</v>
      </c>
      <c r="BM209" s="97" t="s">
        <v>256</v>
      </c>
    </row>
    <row r="210" spans="1:65" s="1" customFormat="1" x14ac:dyDescent="0.2">
      <c r="A210" s="156"/>
      <c r="B210" s="16"/>
      <c r="C210" s="156"/>
      <c r="D210" s="99" t="s">
        <v>84</v>
      </c>
      <c r="E210" s="156"/>
      <c r="F210" s="100" t="s">
        <v>128</v>
      </c>
      <c r="G210" s="156"/>
      <c r="H210" s="156"/>
      <c r="I210" s="101"/>
      <c r="J210" s="156"/>
      <c r="K210" s="156"/>
      <c r="L210" s="16"/>
      <c r="M210" s="102"/>
      <c r="N210" s="103"/>
      <c r="O210" s="27"/>
      <c r="P210" s="27"/>
      <c r="Q210" s="27"/>
      <c r="R210" s="27"/>
      <c r="S210" s="27"/>
      <c r="T210" s="28"/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T210" s="10" t="s">
        <v>84</v>
      </c>
      <c r="AU210" s="10" t="s">
        <v>47</v>
      </c>
    </row>
    <row r="211" spans="1:65" s="1" customFormat="1" ht="19.5" x14ac:dyDescent="0.2">
      <c r="A211" s="156"/>
      <c r="B211" s="16"/>
      <c r="C211" s="156"/>
      <c r="D211" s="99" t="s">
        <v>86</v>
      </c>
      <c r="E211" s="156"/>
      <c r="F211" s="104" t="s">
        <v>130</v>
      </c>
      <c r="G211" s="156"/>
      <c r="H211" s="156"/>
      <c r="I211" s="101"/>
      <c r="J211" s="156"/>
      <c r="K211" s="156"/>
      <c r="L211" s="16"/>
      <c r="M211" s="102"/>
      <c r="N211" s="103"/>
      <c r="O211" s="27"/>
      <c r="P211" s="27"/>
      <c r="Q211" s="27"/>
      <c r="R211" s="27"/>
      <c r="S211" s="27"/>
      <c r="T211" s="28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T211" s="10" t="s">
        <v>86</v>
      </c>
      <c r="AU211" s="10" t="s">
        <v>47</v>
      </c>
    </row>
    <row r="212" spans="1:65" s="7" customFormat="1" x14ac:dyDescent="0.2">
      <c r="B212" s="112"/>
      <c r="D212" s="99" t="s">
        <v>87</v>
      </c>
      <c r="F212" s="114" t="s">
        <v>533</v>
      </c>
      <c r="H212" s="115">
        <f>H196*2</f>
        <v>103.38200000000001</v>
      </c>
      <c r="I212" s="116"/>
      <c r="L212" s="112"/>
      <c r="M212" s="117"/>
      <c r="N212" s="118"/>
      <c r="O212" s="118"/>
      <c r="P212" s="118"/>
      <c r="Q212" s="118"/>
      <c r="R212" s="118"/>
      <c r="S212" s="118"/>
      <c r="T212" s="119"/>
      <c r="AT212" s="113" t="s">
        <v>87</v>
      </c>
      <c r="AU212" s="113" t="s">
        <v>47</v>
      </c>
      <c r="AV212" s="7" t="s">
        <v>47</v>
      </c>
      <c r="AW212" s="7" t="s">
        <v>1</v>
      </c>
      <c r="AX212" s="7" t="s">
        <v>46</v>
      </c>
      <c r="AY212" s="113" t="s">
        <v>75</v>
      </c>
    </row>
    <row r="213" spans="1:65" s="1" customFormat="1" ht="24.2" customHeight="1" x14ac:dyDescent="0.2">
      <c r="A213" s="156"/>
      <c r="B213" s="85"/>
      <c r="C213" s="86" t="s">
        <v>139</v>
      </c>
      <c r="D213" s="86" t="s">
        <v>78</v>
      </c>
      <c r="E213" s="87" t="s">
        <v>162</v>
      </c>
      <c r="F213" s="88" t="s">
        <v>163</v>
      </c>
      <c r="G213" s="89" t="s">
        <v>81</v>
      </c>
      <c r="H213" s="90">
        <v>11.912000000000001</v>
      </c>
      <c r="I213" s="91">
        <v>510.38291484661499</v>
      </c>
      <c r="J213" s="92">
        <f>ROUND(I213*H213,2)</f>
        <v>6079.68</v>
      </c>
      <c r="K213" s="88" t="s">
        <v>82</v>
      </c>
      <c r="L213" s="16"/>
      <c r="M213" s="93" t="s">
        <v>0</v>
      </c>
      <c r="N213" s="94" t="s">
        <v>27</v>
      </c>
      <c r="O213" s="27"/>
      <c r="P213" s="95">
        <f>O213*H213</f>
        <v>0</v>
      </c>
      <c r="Q213" s="95">
        <v>0</v>
      </c>
      <c r="R213" s="95">
        <f>Q213*H213</f>
        <v>0</v>
      </c>
      <c r="S213" s="95">
        <v>0</v>
      </c>
      <c r="T213" s="96">
        <f>S213*H213</f>
        <v>0</v>
      </c>
      <c r="U213" s="156"/>
      <c r="V213" s="156"/>
      <c r="W213" s="156"/>
      <c r="X213" s="156"/>
      <c r="Y213" s="156"/>
      <c r="Z213" s="156"/>
      <c r="AA213" s="156"/>
      <c r="AB213" s="156"/>
      <c r="AC213" s="156"/>
      <c r="AD213" s="156"/>
      <c r="AE213" s="156"/>
      <c r="AR213" s="97" t="s">
        <v>83</v>
      </c>
      <c r="AT213" s="97" t="s">
        <v>78</v>
      </c>
      <c r="AU213" s="97" t="s">
        <v>47</v>
      </c>
      <c r="AY213" s="10" t="s">
        <v>75</v>
      </c>
      <c r="BE213" s="98">
        <f>IF(N213="základní",J213,0)</f>
        <v>6079.68</v>
      </c>
      <c r="BF213" s="98">
        <f>IF(N213="snížená",J213,0)</f>
        <v>0</v>
      </c>
      <c r="BG213" s="98">
        <f>IF(N213="zákl. přenesená",J213,0)</f>
        <v>0</v>
      </c>
      <c r="BH213" s="98">
        <f>IF(N213="sníž. přenesená",J213,0)</f>
        <v>0</v>
      </c>
      <c r="BI213" s="98">
        <f>IF(N213="nulová",J213,0)</f>
        <v>0</v>
      </c>
      <c r="BJ213" s="10" t="s">
        <v>46</v>
      </c>
      <c r="BK213" s="98">
        <f>ROUND(I213*H213,2)</f>
        <v>6079.68</v>
      </c>
      <c r="BL213" s="10" t="s">
        <v>83</v>
      </c>
      <c r="BM213" s="97" t="s">
        <v>257</v>
      </c>
    </row>
    <row r="214" spans="1:65" s="1" customFormat="1" ht="39" x14ac:dyDescent="0.2">
      <c r="A214" s="156"/>
      <c r="B214" s="16"/>
      <c r="C214" s="156"/>
      <c r="D214" s="99" t="s">
        <v>84</v>
      </c>
      <c r="E214" s="156"/>
      <c r="F214" s="100" t="s">
        <v>164</v>
      </c>
      <c r="G214" s="156"/>
      <c r="H214" s="156"/>
      <c r="I214" s="101"/>
      <c r="J214" s="156"/>
      <c r="K214" s="156"/>
      <c r="L214" s="16"/>
      <c r="M214" s="102"/>
      <c r="N214" s="103"/>
      <c r="O214" s="27"/>
      <c r="P214" s="27"/>
      <c r="Q214" s="27"/>
      <c r="R214" s="27"/>
      <c r="S214" s="27"/>
      <c r="T214" s="28"/>
      <c r="U214" s="156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T214" s="10" t="s">
        <v>84</v>
      </c>
      <c r="AU214" s="10" t="s">
        <v>47</v>
      </c>
    </row>
    <row r="215" spans="1:65" s="1" customFormat="1" ht="29.25" x14ac:dyDescent="0.2">
      <c r="A215" s="156"/>
      <c r="B215" s="16"/>
      <c r="C215" s="156"/>
      <c r="D215" s="99" t="s">
        <v>86</v>
      </c>
      <c r="E215" s="156"/>
      <c r="F215" s="104" t="s">
        <v>414</v>
      </c>
      <c r="G215" s="156"/>
      <c r="H215" s="156"/>
      <c r="I215" s="101"/>
      <c r="J215" s="156"/>
      <c r="K215" s="156"/>
      <c r="L215" s="16"/>
      <c r="M215" s="102"/>
      <c r="N215" s="103"/>
      <c r="O215" s="27"/>
      <c r="P215" s="27"/>
      <c r="Q215" s="27"/>
      <c r="R215" s="27"/>
      <c r="S215" s="27"/>
      <c r="T215" s="28"/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T215" s="10" t="s">
        <v>86</v>
      </c>
      <c r="AU215" s="10" t="s">
        <v>47</v>
      </c>
    </row>
    <row r="216" spans="1:65" s="7" customFormat="1" x14ac:dyDescent="0.2">
      <c r="B216" s="112"/>
      <c r="D216" s="99" t="s">
        <v>87</v>
      </c>
      <c r="E216" s="113" t="s">
        <v>0</v>
      </c>
      <c r="F216" s="114" t="s">
        <v>528</v>
      </c>
      <c r="H216" s="115">
        <f>26.47*0.45</f>
        <v>11.9115</v>
      </c>
      <c r="I216" s="116"/>
      <c r="L216" s="112"/>
      <c r="M216" s="117"/>
      <c r="N216" s="118"/>
      <c r="O216" s="118"/>
      <c r="P216" s="118"/>
      <c r="Q216" s="118"/>
      <c r="R216" s="118"/>
      <c r="S216" s="118"/>
      <c r="T216" s="119"/>
      <c r="AT216" s="113" t="s">
        <v>87</v>
      </c>
      <c r="AU216" s="113" t="s">
        <v>47</v>
      </c>
      <c r="AV216" s="7" t="s">
        <v>47</v>
      </c>
      <c r="AW216" s="7" t="s">
        <v>19</v>
      </c>
      <c r="AX216" s="7" t="s">
        <v>46</v>
      </c>
      <c r="AY216" s="113" t="s">
        <v>75</v>
      </c>
    </row>
    <row r="217" spans="1:65" s="1" customFormat="1" ht="14.45" customHeight="1" x14ac:dyDescent="0.2">
      <c r="A217" s="156"/>
      <c r="B217" s="85"/>
      <c r="C217" s="136" t="s">
        <v>116</v>
      </c>
      <c r="D217" s="136" t="s">
        <v>126</v>
      </c>
      <c r="E217" s="137" t="s">
        <v>144</v>
      </c>
      <c r="F217" s="138" t="s">
        <v>145</v>
      </c>
      <c r="G217" s="139" t="s">
        <v>119</v>
      </c>
      <c r="H217" s="140">
        <v>23.824000000000002</v>
      </c>
      <c r="I217" s="141">
        <v>380.62816190000001</v>
      </c>
      <c r="J217" s="142">
        <f>ROUND(I217*H217,2)</f>
        <v>9068.09</v>
      </c>
      <c r="K217" s="138" t="s">
        <v>82</v>
      </c>
      <c r="L217" s="143"/>
      <c r="M217" s="144" t="s">
        <v>0</v>
      </c>
      <c r="N217" s="145" t="s">
        <v>27</v>
      </c>
      <c r="O217" s="27"/>
      <c r="P217" s="95">
        <f>O217*H217</f>
        <v>0</v>
      </c>
      <c r="Q217" s="95">
        <v>1</v>
      </c>
      <c r="R217" s="95">
        <f>Q217*H217</f>
        <v>23.824000000000002</v>
      </c>
      <c r="S217" s="95">
        <v>0</v>
      </c>
      <c r="T217" s="96">
        <f>S217*H217</f>
        <v>0</v>
      </c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R217" s="97" t="s">
        <v>129</v>
      </c>
      <c r="AT217" s="97" t="s">
        <v>126</v>
      </c>
      <c r="AU217" s="97" t="s">
        <v>47</v>
      </c>
      <c r="AY217" s="10" t="s">
        <v>75</v>
      </c>
      <c r="BE217" s="98">
        <f>IF(N217="základní",J217,0)</f>
        <v>9068.09</v>
      </c>
      <c r="BF217" s="98">
        <f>IF(N217="snížená",J217,0)</f>
        <v>0</v>
      </c>
      <c r="BG217" s="98">
        <f>IF(N217="zákl. přenesená",J217,0)</f>
        <v>0</v>
      </c>
      <c r="BH217" s="98">
        <f>IF(N217="sníž. přenesená",J217,0)</f>
        <v>0</v>
      </c>
      <c r="BI217" s="98">
        <f>IF(N217="nulová",J217,0)</f>
        <v>0</v>
      </c>
      <c r="BJ217" s="10" t="s">
        <v>46</v>
      </c>
      <c r="BK217" s="98">
        <f>ROUND(I217*H217,2)</f>
        <v>9068.09</v>
      </c>
      <c r="BL217" s="10" t="s">
        <v>83</v>
      </c>
      <c r="BM217" s="97" t="s">
        <v>258</v>
      </c>
    </row>
    <row r="218" spans="1:65" s="1" customFormat="1" x14ac:dyDescent="0.2">
      <c r="A218" s="156"/>
      <c r="B218" s="16"/>
      <c r="C218" s="156"/>
      <c r="D218" s="99" t="s">
        <v>84</v>
      </c>
      <c r="E218" s="156"/>
      <c r="F218" s="100" t="s">
        <v>145</v>
      </c>
      <c r="G218" s="156"/>
      <c r="H218" s="156"/>
      <c r="I218" s="101"/>
      <c r="J218" s="156"/>
      <c r="K218" s="156"/>
      <c r="L218" s="16"/>
      <c r="M218" s="102"/>
      <c r="N218" s="103"/>
      <c r="O218" s="27"/>
      <c r="P218" s="27"/>
      <c r="Q218" s="27"/>
      <c r="R218" s="27"/>
      <c r="S218" s="27"/>
      <c r="T218" s="28"/>
      <c r="U218" s="156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T218" s="10" t="s">
        <v>84</v>
      </c>
      <c r="AU218" s="10" t="s">
        <v>47</v>
      </c>
    </row>
    <row r="219" spans="1:65" s="7" customFormat="1" x14ac:dyDescent="0.2">
      <c r="B219" s="112"/>
      <c r="D219" s="99" t="s">
        <v>87</v>
      </c>
      <c r="F219" s="114" t="s">
        <v>529</v>
      </c>
      <c r="H219" s="115">
        <f>11.912*2</f>
        <v>23.824000000000002</v>
      </c>
      <c r="I219" s="116"/>
      <c r="L219" s="112"/>
      <c r="M219" s="117"/>
      <c r="N219" s="118"/>
      <c r="O219" s="118"/>
      <c r="P219" s="118"/>
      <c r="Q219" s="118"/>
      <c r="R219" s="118"/>
      <c r="S219" s="118"/>
      <c r="T219" s="119"/>
      <c r="AT219" s="113" t="s">
        <v>87</v>
      </c>
      <c r="AU219" s="113" t="s">
        <v>47</v>
      </c>
      <c r="AV219" s="7" t="s">
        <v>47</v>
      </c>
      <c r="AW219" s="7" t="s">
        <v>1</v>
      </c>
      <c r="AX219" s="7" t="s">
        <v>46</v>
      </c>
      <c r="AY219" s="113" t="s">
        <v>75</v>
      </c>
    </row>
    <row r="220" spans="1:65" s="1" customFormat="1" ht="24.2" customHeight="1" x14ac:dyDescent="0.2">
      <c r="A220" s="156"/>
      <c r="B220" s="85"/>
      <c r="C220" s="86" t="s">
        <v>3</v>
      </c>
      <c r="D220" s="86" t="s">
        <v>78</v>
      </c>
      <c r="E220" s="87" t="s">
        <v>259</v>
      </c>
      <c r="F220" s="88" t="s">
        <v>260</v>
      </c>
      <c r="G220" s="89" t="s">
        <v>100</v>
      </c>
      <c r="H220" s="90">
        <v>4</v>
      </c>
      <c r="I220" s="91">
        <v>64.410667599999996</v>
      </c>
      <c r="J220" s="92">
        <f>ROUND(I220*H220,2)</f>
        <v>257.64</v>
      </c>
      <c r="K220" s="88" t="s">
        <v>0</v>
      </c>
      <c r="L220" s="16"/>
      <c r="M220" s="93" t="s">
        <v>0</v>
      </c>
      <c r="N220" s="94" t="s">
        <v>27</v>
      </c>
      <c r="O220" s="27"/>
      <c r="P220" s="95">
        <f>O220*H220</f>
        <v>0</v>
      </c>
      <c r="Q220" s="95">
        <v>0</v>
      </c>
      <c r="R220" s="95">
        <f>Q220*H220</f>
        <v>0</v>
      </c>
      <c r="S220" s="95">
        <v>0</v>
      </c>
      <c r="T220" s="96">
        <f>S220*H220</f>
        <v>0</v>
      </c>
      <c r="U220" s="156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R220" s="97" t="s">
        <v>83</v>
      </c>
      <c r="AT220" s="97" t="s">
        <v>78</v>
      </c>
      <c r="AU220" s="97" t="s">
        <v>47</v>
      </c>
      <c r="AY220" s="10" t="s">
        <v>75</v>
      </c>
      <c r="BE220" s="98">
        <f>IF(N220="základní",J220,0)</f>
        <v>257.64</v>
      </c>
      <c r="BF220" s="98">
        <f>IF(N220="snížená",J220,0)</f>
        <v>0</v>
      </c>
      <c r="BG220" s="98">
        <f>IF(N220="zákl. přenesená",J220,0)</f>
        <v>0</v>
      </c>
      <c r="BH220" s="98">
        <f>IF(N220="sníž. přenesená",J220,0)</f>
        <v>0</v>
      </c>
      <c r="BI220" s="98">
        <f>IF(N220="nulová",J220,0)</f>
        <v>0</v>
      </c>
      <c r="BJ220" s="10" t="s">
        <v>46</v>
      </c>
      <c r="BK220" s="98">
        <f>ROUND(I220*H220,2)</f>
        <v>257.64</v>
      </c>
      <c r="BL220" s="10" t="s">
        <v>83</v>
      </c>
      <c r="BM220" s="97" t="s">
        <v>261</v>
      </c>
    </row>
    <row r="221" spans="1:65" s="1" customFormat="1" x14ac:dyDescent="0.2">
      <c r="A221" s="156"/>
      <c r="B221" s="16"/>
      <c r="C221" s="156"/>
      <c r="D221" s="99" t="s">
        <v>84</v>
      </c>
      <c r="E221" s="156"/>
      <c r="F221" s="100" t="s">
        <v>260</v>
      </c>
      <c r="G221" s="156"/>
      <c r="H221" s="156"/>
      <c r="I221" s="101"/>
      <c r="J221" s="156"/>
      <c r="K221" s="156"/>
      <c r="L221" s="16"/>
      <c r="M221" s="102"/>
      <c r="N221" s="103"/>
      <c r="O221" s="27"/>
      <c r="P221" s="27"/>
      <c r="Q221" s="27"/>
      <c r="R221" s="27"/>
      <c r="S221" s="27"/>
      <c r="T221" s="28"/>
      <c r="U221" s="156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T221" s="10" t="s">
        <v>84</v>
      </c>
      <c r="AU221" s="10" t="s">
        <v>47</v>
      </c>
    </row>
    <row r="222" spans="1:65" s="1" customFormat="1" ht="24.2" customHeight="1" x14ac:dyDescent="0.2">
      <c r="A222" s="156"/>
      <c r="B222" s="85"/>
      <c r="C222" s="86" t="s">
        <v>125</v>
      </c>
      <c r="D222" s="86" t="s">
        <v>78</v>
      </c>
      <c r="E222" s="87" t="s">
        <v>262</v>
      </c>
      <c r="F222" s="88" t="s">
        <v>263</v>
      </c>
      <c r="G222" s="89" t="s">
        <v>100</v>
      </c>
      <c r="H222" s="90">
        <v>4</v>
      </c>
      <c r="I222" s="91">
        <v>48.300657632010001</v>
      </c>
      <c r="J222" s="92">
        <f>ROUND(I222*H222,2)</f>
        <v>193.2</v>
      </c>
      <c r="K222" s="88" t="s">
        <v>82</v>
      </c>
      <c r="L222" s="16"/>
      <c r="M222" s="93" t="s">
        <v>0</v>
      </c>
      <c r="N222" s="94" t="s">
        <v>27</v>
      </c>
      <c r="O222" s="27"/>
      <c r="P222" s="95">
        <f>O222*H222</f>
        <v>0</v>
      </c>
      <c r="Q222" s="95">
        <v>0</v>
      </c>
      <c r="R222" s="95">
        <f>Q222*H222</f>
        <v>0</v>
      </c>
      <c r="S222" s="95">
        <v>0</v>
      </c>
      <c r="T222" s="96">
        <f>S222*H222</f>
        <v>0</v>
      </c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R222" s="97" t="s">
        <v>83</v>
      </c>
      <c r="AT222" s="97" t="s">
        <v>78</v>
      </c>
      <c r="AU222" s="97" t="s">
        <v>47</v>
      </c>
      <c r="AY222" s="10" t="s">
        <v>75</v>
      </c>
      <c r="BE222" s="98">
        <f>IF(N222="základní",J222,0)</f>
        <v>193.2</v>
      </c>
      <c r="BF222" s="98">
        <f>IF(N222="snížená",J222,0)</f>
        <v>0</v>
      </c>
      <c r="BG222" s="98">
        <f>IF(N222="zákl. přenesená",J222,0)</f>
        <v>0</v>
      </c>
      <c r="BH222" s="98">
        <f>IF(N222="sníž. přenesená",J222,0)</f>
        <v>0</v>
      </c>
      <c r="BI222" s="98">
        <f>IF(N222="nulová",J222,0)</f>
        <v>0</v>
      </c>
      <c r="BJ222" s="10" t="s">
        <v>46</v>
      </c>
      <c r="BK222" s="98">
        <f>ROUND(I222*H222,2)</f>
        <v>193.2</v>
      </c>
      <c r="BL222" s="10" t="s">
        <v>83</v>
      </c>
      <c r="BM222" s="97" t="s">
        <v>264</v>
      </c>
    </row>
    <row r="223" spans="1:65" s="1" customFormat="1" ht="29.25" x14ac:dyDescent="0.2">
      <c r="A223" s="156"/>
      <c r="B223" s="16"/>
      <c r="C223" s="156"/>
      <c r="D223" s="99" t="s">
        <v>84</v>
      </c>
      <c r="E223" s="156"/>
      <c r="F223" s="100" t="s">
        <v>265</v>
      </c>
      <c r="G223" s="156"/>
      <c r="H223" s="156"/>
      <c r="I223" s="101"/>
      <c r="J223" s="156"/>
      <c r="K223" s="156"/>
      <c r="L223" s="16"/>
      <c r="M223" s="102"/>
      <c r="N223" s="103"/>
      <c r="O223" s="27"/>
      <c r="P223" s="27"/>
      <c r="Q223" s="27"/>
      <c r="R223" s="27"/>
      <c r="S223" s="27"/>
      <c r="T223" s="28"/>
      <c r="U223" s="156"/>
      <c r="V223" s="156"/>
      <c r="W223" s="156"/>
      <c r="X223" s="156"/>
      <c r="Y223" s="156"/>
      <c r="Z223" s="156"/>
      <c r="AA223" s="156"/>
      <c r="AB223" s="156"/>
      <c r="AC223" s="156"/>
      <c r="AD223" s="156"/>
      <c r="AE223" s="156"/>
      <c r="AT223" s="10" t="s">
        <v>84</v>
      </c>
      <c r="AU223" s="10" t="s">
        <v>47</v>
      </c>
    </row>
    <row r="224" spans="1:65" s="1" customFormat="1" ht="24.2" customHeight="1" x14ac:dyDescent="0.2">
      <c r="A224" s="156"/>
      <c r="B224" s="85"/>
      <c r="C224" s="86" t="s">
        <v>141</v>
      </c>
      <c r="D224" s="86" t="s">
        <v>78</v>
      </c>
      <c r="E224" s="87" t="s">
        <v>132</v>
      </c>
      <c r="F224" s="88" t="s">
        <v>133</v>
      </c>
      <c r="G224" s="89" t="s">
        <v>119</v>
      </c>
      <c r="H224" s="90">
        <v>127.206</v>
      </c>
      <c r="I224" s="91">
        <v>61.737071122597108</v>
      </c>
      <c r="J224" s="92">
        <f>ROUND(I224*H224,2)</f>
        <v>7853.33</v>
      </c>
      <c r="K224" s="88" t="s">
        <v>82</v>
      </c>
      <c r="L224" s="16"/>
      <c r="M224" s="93" t="s">
        <v>0</v>
      </c>
      <c r="N224" s="94" t="s">
        <v>27</v>
      </c>
      <c r="O224" s="27"/>
      <c r="P224" s="95">
        <f>O224*H224</f>
        <v>0</v>
      </c>
      <c r="Q224" s="95">
        <v>0</v>
      </c>
      <c r="R224" s="95">
        <f>Q224*H224</f>
        <v>0</v>
      </c>
      <c r="S224" s="95">
        <v>0</v>
      </c>
      <c r="T224" s="96">
        <f>S224*H224</f>
        <v>0</v>
      </c>
      <c r="U224" s="156"/>
      <c r="V224" s="156"/>
      <c r="W224" s="156"/>
      <c r="X224" s="156"/>
      <c r="Y224" s="156"/>
      <c r="Z224" s="156"/>
      <c r="AA224" s="156"/>
      <c r="AB224" s="156"/>
      <c r="AC224" s="156"/>
      <c r="AD224" s="156"/>
      <c r="AE224" s="156"/>
      <c r="AR224" s="97" t="s">
        <v>83</v>
      </c>
      <c r="AT224" s="97" t="s">
        <v>78</v>
      </c>
      <c r="AU224" s="97" t="s">
        <v>47</v>
      </c>
      <c r="AY224" s="10" t="s">
        <v>75</v>
      </c>
      <c r="BE224" s="98">
        <f>IF(N224="základní",J224,0)</f>
        <v>7853.33</v>
      </c>
      <c r="BF224" s="98">
        <f>IF(N224="snížená",J224,0)</f>
        <v>0</v>
      </c>
      <c r="BG224" s="98">
        <f>IF(N224="zákl. přenesená",J224,0)</f>
        <v>0</v>
      </c>
      <c r="BH224" s="98">
        <f>IF(N224="sníž. přenesená",J224,0)</f>
        <v>0</v>
      </c>
      <c r="BI224" s="98">
        <f>IF(N224="nulová",J224,0)</f>
        <v>0</v>
      </c>
      <c r="BJ224" s="10" t="s">
        <v>46</v>
      </c>
      <c r="BK224" s="98">
        <f>ROUND(I224*H224,2)</f>
        <v>7853.33</v>
      </c>
      <c r="BL224" s="10" t="s">
        <v>83</v>
      </c>
      <c r="BM224" s="97" t="s">
        <v>266</v>
      </c>
    </row>
    <row r="225" spans="1:65" s="1" customFormat="1" ht="29.25" x14ac:dyDescent="0.2">
      <c r="A225" s="156"/>
      <c r="B225" s="16"/>
      <c r="C225" s="156"/>
      <c r="D225" s="99" t="s">
        <v>84</v>
      </c>
      <c r="E225" s="156"/>
      <c r="F225" s="100" t="s">
        <v>134</v>
      </c>
      <c r="G225" s="156"/>
      <c r="H225" s="156"/>
      <c r="I225" s="101"/>
      <c r="J225" s="156"/>
      <c r="K225" s="156"/>
      <c r="L225" s="16"/>
      <c r="M225" s="102"/>
      <c r="N225" s="103"/>
      <c r="O225" s="27"/>
      <c r="P225" s="27"/>
      <c r="Q225" s="27"/>
      <c r="R225" s="27"/>
      <c r="S225" s="27"/>
      <c r="T225" s="28"/>
      <c r="U225" s="156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T225" s="10" t="s">
        <v>84</v>
      </c>
      <c r="AU225" s="10" t="s">
        <v>47</v>
      </c>
    </row>
    <row r="226" spans="1:65" s="7" customFormat="1" x14ac:dyDescent="0.2">
      <c r="B226" s="112"/>
      <c r="D226" s="99" t="s">
        <v>87</v>
      </c>
      <c r="E226" s="113" t="s">
        <v>0</v>
      </c>
      <c r="F226" s="114" t="s">
        <v>549</v>
      </c>
      <c r="H226" s="115">
        <f>H209+H217</f>
        <v>127.206</v>
      </c>
      <c r="I226" s="116"/>
      <c r="L226" s="112"/>
      <c r="M226" s="117"/>
      <c r="N226" s="118"/>
      <c r="O226" s="118"/>
      <c r="P226" s="118"/>
      <c r="Q226" s="118"/>
      <c r="R226" s="118"/>
      <c r="S226" s="118"/>
      <c r="T226" s="119"/>
      <c r="AT226" s="113" t="s">
        <v>87</v>
      </c>
      <c r="AU226" s="113" t="s">
        <v>47</v>
      </c>
      <c r="AV226" s="7" t="s">
        <v>47</v>
      </c>
      <c r="AW226" s="7" t="s">
        <v>19</v>
      </c>
      <c r="AX226" s="7" t="s">
        <v>46</v>
      </c>
      <c r="AY226" s="113" t="s">
        <v>75</v>
      </c>
    </row>
    <row r="227" spans="1:65" s="5" customFormat="1" ht="22.9" customHeight="1" x14ac:dyDescent="0.2">
      <c r="B227" s="72"/>
      <c r="D227" s="73" t="s">
        <v>44</v>
      </c>
      <c r="E227" s="83" t="s">
        <v>47</v>
      </c>
      <c r="F227" s="83" t="s">
        <v>267</v>
      </c>
      <c r="I227" s="75"/>
      <c r="J227" s="84">
        <f>BK227</f>
        <v>6989.89</v>
      </c>
      <c r="L227" s="72"/>
      <c r="M227" s="77"/>
      <c r="N227" s="78"/>
      <c r="O227" s="78"/>
      <c r="P227" s="79">
        <f>SUM(P228:P229)</f>
        <v>0</v>
      </c>
      <c r="Q227" s="78"/>
      <c r="R227" s="79">
        <f>SUM(R228:R229)</f>
        <v>5.4181442999999998</v>
      </c>
      <c r="S227" s="78"/>
      <c r="T227" s="80">
        <f>SUM(T228:T229)</f>
        <v>0</v>
      </c>
      <c r="AR227" s="73" t="s">
        <v>46</v>
      </c>
      <c r="AT227" s="81" t="s">
        <v>44</v>
      </c>
      <c r="AU227" s="81" t="s">
        <v>46</v>
      </c>
      <c r="AY227" s="73" t="s">
        <v>75</v>
      </c>
      <c r="BK227" s="82">
        <f>SUM(BK228:BK229)</f>
        <v>6989.89</v>
      </c>
    </row>
    <row r="228" spans="1:65" s="1" customFormat="1" ht="37.9" customHeight="1" x14ac:dyDescent="0.2">
      <c r="A228" s="156"/>
      <c r="B228" s="85"/>
      <c r="C228" s="86" t="s">
        <v>161</v>
      </c>
      <c r="D228" s="86" t="s">
        <v>78</v>
      </c>
      <c r="E228" s="87" t="s">
        <v>268</v>
      </c>
      <c r="F228" s="88" t="s">
        <v>269</v>
      </c>
      <c r="G228" s="89" t="s">
        <v>270</v>
      </c>
      <c r="H228" s="90">
        <v>26.47</v>
      </c>
      <c r="I228" s="91">
        <v>264.06831423630393</v>
      </c>
      <c r="J228" s="92">
        <f>ROUND(I228*H228,2)</f>
        <v>6989.89</v>
      </c>
      <c r="K228" s="88" t="s">
        <v>82</v>
      </c>
      <c r="L228" s="16"/>
      <c r="M228" s="93" t="s">
        <v>0</v>
      </c>
      <c r="N228" s="94" t="s">
        <v>27</v>
      </c>
      <c r="O228" s="27"/>
      <c r="P228" s="95">
        <f>O228*H228</f>
        <v>0</v>
      </c>
      <c r="Q228" s="95">
        <v>0.20469000000000001</v>
      </c>
      <c r="R228" s="95">
        <f>Q228*H228</f>
        <v>5.4181442999999998</v>
      </c>
      <c r="S228" s="95">
        <v>0</v>
      </c>
      <c r="T228" s="96">
        <f>S228*H228</f>
        <v>0</v>
      </c>
      <c r="U228" s="156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R228" s="97" t="s">
        <v>83</v>
      </c>
      <c r="AT228" s="97" t="s">
        <v>78</v>
      </c>
      <c r="AU228" s="97" t="s">
        <v>47</v>
      </c>
      <c r="AY228" s="10" t="s">
        <v>75</v>
      </c>
      <c r="BE228" s="98">
        <f>IF(N228="základní",J228,0)</f>
        <v>6989.89</v>
      </c>
      <c r="BF228" s="98">
        <f>IF(N228="snížená",J228,0)</f>
        <v>0</v>
      </c>
      <c r="BG228" s="98">
        <f>IF(N228="zákl. přenesená",J228,0)</f>
        <v>0</v>
      </c>
      <c r="BH228" s="98">
        <f>IF(N228="sníž. přenesená",J228,0)</f>
        <v>0</v>
      </c>
      <c r="BI228" s="98">
        <f>IF(N228="nulová",J228,0)</f>
        <v>0</v>
      </c>
      <c r="BJ228" s="10" t="s">
        <v>46</v>
      </c>
      <c r="BK228" s="98">
        <f>ROUND(I228*H228,2)</f>
        <v>6989.89</v>
      </c>
      <c r="BL228" s="10" t="s">
        <v>83</v>
      </c>
      <c r="BM228" s="97" t="s">
        <v>271</v>
      </c>
    </row>
    <row r="229" spans="1:65" s="1" customFormat="1" ht="39" x14ac:dyDescent="0.2">
      <c r="A229" s="156"/>
      <c r="B229" s="16"/>
      <c r="C229" s="156"/>
      <c r="D229" s="99" t="s">
        <v>84</v>
      </c>
      <c r="E229" s="156"/>
      <c r="F229" s="100" t="s">
        <v>272</v>
      </c>
      <c r="G229" s="156"/>
      <c r="H229" s="156"/>
      <c r="I229" s="101"/>
      <c r="J229" s="156"/>
      <c r="K229" s="156"/>
      <c r="L229" s="16"/>
      <c r="M229" s="102"/>
      <c r="N229" s="103"/>
      <c r="O229" s="27"/>
      <c r="P229" s="27"/>
      <c r="Q229" s="27"/>
      <c r="R229" s="27"/>
      <c r="S229" s="27"/>
      <c r="T229" s="28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T229" s="10" t="s">
        <v>84</v>
      </c>
      <c r="AU229" s="10" t="s">
        <v>47</v>
      </c>
    </row>
    <row r="230" spans="1:65" s="5" customFormat="1" ht="22.9" customHeight="1" x14ac:dyDescent="0.2">
      <c r="B230" s="72"/>
      <c r="D230" s="73" t="s">
        <v>44</v>
      </c>
      <c r="E230" s="83" t="s">
        <v>83</v>
      </c>
      <c r="F230" s="83" t="s">
        <v>274</v>
      </c>
      <c r="I230" s="75"/>
      <c r="J230" s="84">
        <f>BK230</f>
        <v>4814.95</v>
      </c>
      <c r="L230" s="72"/>
      <c r="M230" s="77"/>
      <c r="N230" s="78"/>
      <c r="O230" s="78"/>
      <c r="P230" s="79">
        <f>SUM(P231:P244)</f>
        <v>0</v>
      </c>
      <c r="Q230" s="78"/>
      <c r="R230" s="79">
        <f>SUM(R231:R244)</f>
        <v>0</v>
      </c>
      <c r="S230" s="78"/>
      <c r="T230" s="80">
        <f>SUM(T231:T244)</f>
        <v>0</v>
      </c>
      <c r="AR230" s="73" t="s">
        <v>46</v>
      </c>
      <c r="AT230" s="81" t="s">
        <v>44</v>
      </c>
      <c r="AU230" s="81" t="s">
        <v>46</v>
      </c>
      <c r="AY230" s="73" t="s">
        <v>75</v>
      </c>
      <c r="BK230" s="82">
        <f>SUM(BK231:BK244)</f>
        <v>4814.95</v>
      </c>
    </row>
    <row r="231" spans="1:65" s="1" customFormat="1" ht="14.45" customHeight="1" x14ac:dyDescent="0.2">
      <c r="A231" s="156"/>
      <c r="B231" s="85"/>
      <c r="C231" s="86" t="s">
        <v>131</v>
      </c>
      <c r="D231" s="86" t="s">
        <v>78</v>
      </c>
      <c r="E231" s="87" t="s">
        <v>166</v>
      </c>
      <c r="F231" s="88" t="s">
        <v>167</v>
      </c>
      <c r="G231" s="89" t="s">
        <v>81</v>
      </c>
      <c r="H231" s="90">
        <v>2.6469999999999998</v>
      </c>
      <c r="I231" s="91">
        <v>1200.17173250368</v>
      </c>
      <c r="J231" s="92">
        <f>ROUND(I231*H231,2)</f>
        <v>3176.85</v>
      </c>
      <c r="K231" s="88" t="s">
        <v>82</v>
      </c>
      <c r="L231" s="16"/>
      <c r="M231" s="93" t="s">
        <v>0</v>
      </c>
      <c r="N231" s="94" t="s">
        <v>27</v>
      </c>
      <c r="O231" s="27"/>
      <c r="P231" s="95">
        <f>O231*H231</f>
        <v>0</v>
      </c>
      <c r="Q231" s="95">
        <v>0</v>
      </c>
      <c r="R231" s="95">
        <f>Q231*H231</f>
        <v>0</v>
      </c>
      <c r="S231" s="95">
        <v>0</v>
      </c>
      <c r="T231" s="96">
        <f>S231*H231</f>
        <v>0</v>
      </c>
      <c r="U231" s="156"/>
      <c r="V231" s="156"/>
      <c r="W231" s="156"/>
      <c r="X231" s="156"/>
      <c r="Y231" s="156"/>
      <c r="Z231" s="156"/>
      <c r="AA231" s="156"/>
      <c r="AB231" s="156"/>
      <c r="AC231" s="156"/>
      <c r="AD231" s="156"/>
      <c r="AE231" s="156"/>
      <c r="AR231" s="97" t="s">
        <v>83</v>
      </c>
      <c r="AT231" s="97" t="s">
        <v>78</v>
      </c>
      <c r="AU231" s="97" t="s">
        <v>47</v>
      </c>
      <c r="AY231" s="10" t="s">
        <v>75</v>
      </c>
      <c r="BE231" s="98">
        <f>IF(N231="základní",J231,0)</f>
        <v>3176.85</v>
      </c>
      <c r="BF231" s="98">
        <f>IF(N231="snížená",J231,0)</f>
        <v>0</v>
      </c>
      <c r="BG231" s="98">
        <f>IF(N231="zákl. přenesená",J231,0)</f>
        <v>0</v>
      </c>
      <c r="BH231" s="98">
        <f>IF(N231="sníž. přenesená",J231,0)</f>
        <v>0</v>
      </c>
      <c r="BI231" s="98">
        <f>IF(N231="nulová",J231,0)</f>
        <v>0</v>
      </c>
      <c r="BJ231" s="10" t="s">
        <v>46</v>
      </c>
      <c r="BK231" s="98">
        <f>ROUND(I231*H231,2)</f>
        <v>3176.85</v>
      </c>
      <c r="BL231" s="10" t="s">
        <v>83</v>
      </c>
      <c r="BM231" s="97" t="s">
        <v>275</v>
      </c>
    </row>
    <row r="232" spans="1:65" s="1" customFormat="1" ht="19.5" x14ac:dyDescent="0.2">
      <c r="A232" s="156"/>
      <c r="B232" s="16"/>
      <c r="C232" s="156"/>
      <c r="D232" s="99" t="s">
        <v>84</v>
      </c>
      <c r="E232" s="156"/>
      <c r="F232" s="100" t="s">
        <v>168</v>
      </c>
      <c r="G232" s="156"/>
      <c r="H232" s="156"/>
      <c r="I232" s="101"/>
      <c r="J232" s="156"/>
      <c r="K232" s="156"/>
      <c r="L232" s="16"/>
      <c r="M232" s="102"/>
      <c r="N232" s="103"/>
      <c r="O232" s="27"/>
      <c r="P232" s="27"/>
      <c r="Q232" s="27"/>
      <c r="R232" s="27"/>
      <c r="S232" s="27"/>
      <c r="T232" s="28"/>
      <c r="U232" s="156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T232" s="10" t="s">
        <v>84</v>
      </c>
      <c r="AU232" s="10" t="s">
        <v>47</v>
      </c>
    </row>
    <row r="233" spans="1:65" s="1" customFormat="1" ht="29.25" x14ac:dyDescent="0.2">
      <c r="A233" s="156"/>
      <c r="B233" s="16"/>
      <c r="C233" s="156"/>
      <c r="D233" s="99" t="s">
        <v>86</v>
      </c>
      <c r="E233" s="156"/>
      <c r="F233" s="104" t="s">
        <v>414</v>
      </c>
      <c r="G233" s="156"/>
      <c r="H233" s="156"/>
      <c r="I233" s="101"/>
      <c r="J233" s="156"/>
      <c r="K233" s="156"/>
      <c r="L233" s="16"/>
      <c r="M233" s="102"/>
      <c r="N233" s="103"/>
      <c r="O233" s="27"/>
      <c r="P233" s="27"/>
      <c r="Q233" s="27"/>
      <c r="R233" s="27"/>
      <c r="S233" s="27"/>
      <c r="T233" s="28"/>
      <c r="U233" s="156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T233" s="10" t="s">
        <v>86</v>
      </c>
      <c r="AU233" s="10" t="s">
        <v>47</v>
      </c>
    </row>
    <row r="234" spans="1:65" s="7" customFormat="1" x14ac:dyDescent="0.2">
      <c r="B234" s="112"/>
      <c r="D234" s="99" t="s">
        <v>87</v>
      </c>
      <c r="E234" s="113" t="s">
        <v>0</v>
      </c>
      <c r="F234" s="114" t="s">
        <v>530</v>
      </c>
      <c r="H234" s="115">
        <f>26.47*0.1</f>
        <v>2.6470000000000002</v>
      </c>
      <c r="I234" s="116"/>
      <c r="L234" s="112"/>
      <c r="M234" s="117"/>
      <c r="N234" s="118"/>
      <c r="O234" s="118"/>
      <c r="P234" s="118"/>
      <c r="Q234" s="118"/>
      <c r="R234" s="118"/>
      <c r="S234" s="118"/>
      <c r="T234" s="119"/>
      <c r="AT234" s="113" t="s">
        <v>87</v>
      </c>
      <c r="AU234" s="113" t="s">
        <v>47</v>
      </c>
      <c r="AV234" s="7" t="s">
        <v>47</v>
      </c>
      <c r="AW234" s="7" t="s">
        <v>19</v>
      </c>
      <c r="AX234" s="7" t="s">
        <v>46</v>
      </c>
      <c r="AY234" s="113" t="s">
        <v>75</v>
      </c>
    </row>
    <row r="235" spans="1:65" s="1" customFormat="1" ht="14.45" customHeight="1" x14ac:dyDescent="0.2">
      <c r="A235" s="156"/>
      <c r="B235" s="85"/>
      <c r="C235" s="86" t="s">
        <v>143</v>
      </c>
      <c r="D235" s="86" t="s">
        <v>78</v>
      </c>
      <c r="E235" s="87" t="s">
        <v>276</v>
      </c>
      <c r="F235" s="88" t="s">
        <v>277</v>
      </c>
      <c r="G235" s="89" t="s">
        <v>81</v>
      </c>
      <c r="H235" s="90">
        <v>0.4</v>
      </c>
      <c r="I235" s="91">
        <v>1200.17173250368</v>
      </c>
      <c r="J235" s="92">
        <f>ROUND(I235*H235,2)</f>
        <v>480.07</v>
      </c>
      <c r="K235" s="88" t="s">
        <v>0</v>
      </c>
      <c r="L235" s="16"/>
      <c r="M235" s="93" t="s">
        <v>0</v>
      </c>
      <c r="N235" s="94" t="s">
        <v>27</v>
      </c>
      <c r="O235" s="27"/>
      <c r="P235" s="95">
        <f>O235*H235</f>
        <v>0</v>
      </c>
      <c r="Q235" s="95">
        <v>0</v>
      </c>
      <c r="R235" s="95">
        <f>Q235*H235</f>
        <v>0</v>
      </c>
      <c r="S235" s="95">
        <v>0</v>
      </c>
      <c r="T235" s="96">
        <f>S235*H235</f>
        <v>0</v>
      </c>
      <c r="U235" s="156"/>
      <c r="V235" s="156"/>
      <c r="W235" s="156"/>
      <c r="X235" s="156"/>
      <c r="Y235" s="156"/>
      <c r="Z235" s="156"/>
      <c r="AA235" s="156"/>
      <c r="AB235" s="156"/>
      <c r="AC235" s="156"/>
      <c r="AD235" s="156"/>
      <c r="AE235" s="156"/>
      <c r="AR235" s="97" t="s">
        <v>83</v>
      </c>
      <c r="AT235" s="97" t="s">
        <v>78</v>
      </c>
      <c r="AU235" s="97" t="s">
        <v>47</v>
      </c>
      <c r="AY235" s="10" t="s">
        <v>75</v>
      </c>
      <c r="BE235" s="98">
        <f>IF(N235="základní",J235,0)</f>
        <v>480.07</v>
      </c>
      <c r="BF235" s="98">
        <f>IF(N235="snížená",J235,0)</f>
        <v>0</v>
      </c>
      <c r="BG235" s="98">
        <f>IF(N235="zákl. přenesená",J235,0)</f>
        <v>0</v>
      </c>
      <c r="BH235" s="98">
        <f>IF(N235="sníž. přenesená",J235,0)</f>
        <v>0</v>
      </c>
      <c r="BI235" s="98">
        <f>IF(N235="nulová",J235,0)</f>
        <v>0</v>
      </c>
      <c r="BJ235" s="10" t="s">
        <v>46</v>
      </c>
      <c r="BK235" s="98">
        <f>ROUND(I235*H235,2)</f>
        <v>480.07</v>
      </c>
      <c r="BL235" s="10" t="s">
        <v>83</v>
      </c>
      <c r="BM235" s="97" t="s">
        <v>278</v>
      </c>
    </row>
    <row r="236" spans="1:65" s="1" customFormat="1" ht="19.5" x14ac:dyDescent="0.2">
      <c r="A236" s="156"/>
      <c r="B236" s="16"/>
      <c r="C236" s="156"/>
      <c r="D236" s="99" t="s">
        <v>84</v>
      </c>
      <c r="E236" s="156"/>
      <c r="F236" s="100" t="s">
        <v>168</v>
      </c>
      <c r="G236" s="156"/>
      <c r="H236" s="156"/>
      <c r="I236" s="101"/>
      <c r="J236" s="156"/>
      <c r="K236" s="156"/>
      <c r="L236" s="16"/>
      <c r="M236" s="102"/>
      <c r="N236" s="103"/>
      <c r="O236" s="27"/>
      <c r="P236" s="27"/>
      <c r="Q236" s="27"/>
      <c r="R236" s="27"/>
      <c r="S236" s="27"/>
      <c r="T236" s="28"/>
      <c r="U236" s="156"/>
      <c r="V236" s="156"/>
      <c r="W236" s="156"/>
      <c r="X236" s="156"/>
      <c r="Y236" s="156"/>
      <c r="Z236" s="156"/>
      <c r="AA236" s="156"/>
      <c r="AB236" s="156"/>
      <c r="AC236" s="156"/>
      <c r="AD236" s="156"/>
      <c r="AE236" s="156"/>
      <c r="AT236" s="10" t="s">
        <v>84</v>
      </c>
      <c r="AU236" s="10" t="s">
        <v>47</v>
      </c>
    </row>
    <row r="237" spans="1:65" s="1" customFormat="1" ht="29.25" x14ac:dyDescent="0.2">
      <c r="A237" s="156"/>
      <c r="B237" s="16"/>
      <c r="C237" s="156"/>
      <c r="D237" s="99" t="s">
        <v>86</v>
      </c>
      <c r="E237" s="156"/>
      <c r="F237" s="104" t="s">
        <v>414</v>
      </c>
      <c r="G237" s="156"/>
      <c r="H237" s="156"/>
      <c r="I237" s="101"/>
      <c r="J237" s="156"/>
      <c r="K237" s="156"/>
      <c r="L237" s="16"/>
      <c r="M237" s="102"/>
      <c r="N237" s="103"/>
      <c r="O237" s="27"/>
      <c r="P237" s="27"/>
      <c r="Q237" s="27"/>
      <c r="R237" s="27"/>
      <c r="S237" s="27"/>
      <c r="T237" s="28"/>
      <c r="U237" s="156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T237" s="10" t="s">
        <v>86</v>
      </c>
      <c r="AU237" s="10" t="s">
        <v>47</v>
      </c>
    </row>
    <row r="238" spans="1:65" s="6" customFormat="1" x14ac:dyDescent="0.2">
      <c r="B238" s="105"/>
      <c r="D238" s="99" t="s">
        <v>87</v>
      </c>
      <c r="E238" s="106" t="s">
        <v>0</v>
      </c>
      <c r="F238" s="107" t="s">
        <v>279</v>
      </c>
      <c r="H238" s="106" t="s">
        <v>0</v>
      </c>
      <c r="I238" s="108"/>
      <c r="L238" s="105"/>
      <c r="M238" s="109"/>
      <c r="N238" s="110"/>
      <c r="O238" s="110"/>
      <c r="P238" s="110"/>
      <c r="Q238" s="110"/>
      <c r="R238" s="110"/>
      <c r="S238" s="110"/>
      <c r="T238" s="111"/>
      <c r="AT238" s="106" t="s">
        <v>87</v>
      </c>
      <c r="AU238" s="106" t="s">
        <v>47</v>
      </c>
      <c r="AV238" s="6" t="s">
        <v>46</v>
      </c>
      <c r="AW238" s="6" t="s">
        <v>19</v>
      </c>
      <c r="AX238" s="6" t="s">
        <v>45</v>
      </c>
      <c r="AY238" s="106" t="s">
        <v>75</v>
      </c>
    </row>
    <row r="239" spans="1:65" s="7" customFormat="1" x14ac:dyDescent="0.2">
      <c r="B239" s="112"/>
      <c r="D239" s="99" t="s">
        <v>87</v>
      </c>
      <c r="E239" s="113" t="s">
        <v>0</v>
      </c>
      <c r="F239" s="114" t="s">
        <v>531</v>
      </c>
      <c r="H239" s="115">
        <f>0.1*4</f>
        <v>0.4</v>
      </c>
      <c r="I239" s="116"/>
      <c r="L239" s="112"/>
      <c r="M239" s="117"/>
      <c r="N239" s="118"/>
      <c r="O239" s="118"/>
      <c r="P239" s="118"/>
      <c r="Q239" s="118"/>
      <c r="R239" s="118"/>
      <c r="S239" s="118"/>
      <c r="T239" s="119"/>
      <c r="AT239" s="113" t="s">
        <v>87</v>
      </c>
      <c r="AU239" s="113" t="s">
        <v>47</v>
      </c>
      <c r="AV239" s="7" t="s">
        <v>47</v>
      </c>
      <c r="AW239" s="7" t="s">
        <v>19</v>
      </c>
      <c r="AX239" s="7" t="s">
        <v>45</v>
      </c>
      <c r="AY239" s="113" t="s">
        <v>75</v>
      </c>
    </row>
    <row r="240" spans="1:65" s="1" customFormat="1" ht="24.2" customHeight="1" x14ac:dyDescent="0.2">
      <c r="A240" s="156"/>
      <c r="B240" s="85"/>
      <c r="C240" s="86" t="s">
        <v>138</v>
      </c>
      <c r="D240" s="86" t="s">
        <v>78</v>
      </c>
      <c r="E240" s="87" t="s">
        <v>283</v>
      </c>
      <c r="F240" s="88" t="s">
        <v>284</v>
      </c>
      <c r="G240" s="89" t="s">
        <v>81</v>
      </c>
      <c r="H240" s="90">
        <v>0.4</v>
      </c>
      <c r="I240" s="91">
        <v>2895.0660868876225</v>
      </c>
      <c r="J240" s="92">
        <f>ROUND(I240*H240,2)</f>
        <v>1158.03</v>
      </c>
      <c r="K240" s="88" t="s">
        <v>82</v>
      </c>
      <c r="L240" s="16"/>
      <c r="M240" s="93" t="s">
        <v>0</v>
      </c>
      <c r="N240" s="94" t="s">
        <v>27</v>
      </c>
      <c r="O240" s="27"/>
      <c r="P240" s="95">
        <f>O240*H240</f>
        <v>0</v>
      </c>
      <c r="Q240" s="95">
        <v>0</v>
      </c>
      <c r="R240" s="95">
        <f>Q240*H240</f>
        <v>0</v>
      </c>
      <c r="S240" s="95">
        <v>0</v>
      </c>
      <c r="T240" s="96">
        <f>S240*H240</f>
        <v>0</v>
      </c>
      <c r="U240" s="156"/>
      <c r="V240" s="156"/>
      <c r="W240" s="156"/>
      <c r="X240" s="156"/>
      <c r="Y240" s="156"/>
      <c r="Z240" s="156"/>
      <c r="AA240" s="156"/>
      <c r="AB240" s="156"/>
      <c r="AC240" s="156"/>
      <c r="AD240" s="156"/>
      <c r="AE240" s="156"/>
      <c r="AR240" s="97" t="s">
        <v>83</v>
      </c>
      <c r="AT240" s="97" t="s">
        <v>78</v>
      </c>
      <c r="AU240" s="97" t="s">
        <v>47</v>
      </c>
      <c r="AY240" s="10" t="s">
        <v>75</v>
      </c>
      <c r="BE240" s="98">
        <f>IF(N240="základní",J240,0)</f>
        <v>1158.03</v>
      </c>
      <c r="BF240" s="98">
        <f>IF(N240="snížená",J240,0)</f>
        <v>0</v>
      </c>
      <c r="BG240" s="98">
        <f>IF(N240="zákl. přenesená",J240,0)</f>
        <v>0</v>
      </c>
      <c r="BH240" s="98">
        <f>IF(N240="sníž. přenesená",J240,0)</f>
        <v>0</v>
      </c>
      <c r="BI240" s="98">
        <f>IF(N240="nulová",J240,0)</f>
        <v>0</v>
      </c>
      <c r="BJ240" s="10" t="s">
        <v>46</v>
      </c>
      <c r="BK240" s="98">
        <f>ROUND(I240*H240,2)</f>
        <v>1158.03</v>
      </c>
      <c r="BL240" s="10" t="s">
        <v>83</v>
      </c>
      <c r="BM240" s="97" t="s">
        <v>285</v>
      </c>
    </row>
    <row r="241" spans="1:65" s="1" customFormat="1" ht="29.25" x14ac:dyDescent="0.2">
      <c r="A241" s="156"/>
      <c r="B241" s="16"/>
      <c r="C241" s="156"/>
      <c r="D241" s="99" t="s">
        <v>84</v>
      </c>
      <c r="E241" s="156"/>
      <c r="F241" s="100" t="s">
        <v>286</v>
      </c>
      <c r="G241" s="156"/>
      <c r="H241" s="156"/>
      <c r="I241" s="101"/>
      <c r="J241" s="156"/>
      <c r="K241" s="156"/>
      <c r="L241" s="16"/>
      <c r="M241" s="102"/>
      <c r="N241" s="103"/>
      <c r="O241" s="27"/>
      <c r="P241" s="27"/>
      <c r="Q241" s="27"/>
      <c r="R241" s="27"/>
      <c r="S241" s="27"/>
      <c r="T241" s="28"/>
      <c r="U241" s="156"/>
      <c r="V241" s="156"/>
      <c r="W241" s="156"/>
      <c r="X241" s="156"/>
      <c r="Y241" s="156"/>
      <c r="Z241" s="156"/>
      <c r="AA241" s="156"/>
      <c r="AB241" s="156"/>
      <c r="AC241" s="156"/>
      <c r="AD241" s="156"/>
      <c r="AE241" s="156"/>
      <c r="AT241" s="10" t="s">
        <v>84</v>
      </c>
      <c r="AU241" s="10" t="s">
        <v>47</v>
      </c>
    </row>
    <row r="242" spans="1:65" s="1" customFormat="1" ht="29.25" x14ac:dyDescent="0.2">
      <c r="A242" s="156"/>
      <c r="B242" s="16"/>
      <c r="C242" s="156"/>
      <c r="D242" s="99" t="s">
        <v>86</v>
      </c>
      <c r="E242" s="156"/>
      <c r="F242" s="104" t="s">
        <v>414</v>
      </c>
      <c r="G242" s="156"/>
      <c r="H242" s="156"/>
      <c r="I242" s="101"/>
      <c r="J242" s="156"/>
      <c r="K242" s="156"/>
      <c r="L242" s="16"/>
      <c r="M242" s="102"/>
      <c r="N242" s="103"/>
      <c r="O242" s="27"/>
      <c r="P242" s="27"/>
      <c r="Q242" s="27"/>
      <c r="R242" s="27"/>
      <c r="S242" s="27"/>
      <c r="T242" s="28"/>
      <c r="U242" s="156"/>
      <c r="V242" s="156"/>
      <c r="W242" s="156"/>
      <c r="X242" s="156"/>
      <c r="Y242" s="156"/>
      <c r="Z242" s="156"/>
      <c r="AA242" s="156"/>
      <c r="AB242" s="156"/>
      <c r="AC242" s="156"/>
      <c r="AD242" s="156"/>
      <c r="AE242" s="156"/>
      <c r="AT242" s="10" t="s">
        <v>86</v>
      </c>
      <c r="AU242" s="10" t="s">
        <v>47</v>
      </c>
    </row>
    <row r="243" spans="1:65" s="6" customFormat="1" x14ac:dyDescent="0.2">
      <c r="B243" s="105"/>
      <c r="D243" s="99" t="s">
        <v>87</v>
      </c>
      <c r="E243" s="106" t="s">
        <v>0</v>
      </c>
      <c r="F243" s="107" t="s">
        <v>279</v>
      </c>
      <c r="H243" s="106" t="s">
        <v>0</v>
      </c>
      <c r="I243" s="108"/>
      <c r="L243" s="105"/>
      <c r="M243" s="109"/>
      <c r="N243" s="110"/>
      <c r="O243" s="110"/>
      <c r="P243" s="110"/>
      <c r="Q243" s="110"/>
      <c r="R243" s="110"/>
      <c r="S243" s="110"/>
      <c r="T243" s="111"/>
      <c r="AT243" s="106" t="s">
        <v>87</v>
      </c>
      <c r="AU243" s="106" t="s">
        <v>47</v>
      </c>
      <c r="AV243" s="6" t="s">
        <v>46</v>
      </c>
      <c r="AW243" s="6" t="s">
        <v>19</v>
      </c>
      <c r="AX243" s="6" t="s">
        <v>45</v>
      </c>
      <c r="AY243" s="106" t="s">
        <v>75</v>
      </c>
    </row>
    <row r="244" spans="1:65" s="7" customFormat="1" x14ac:dyDescent="0.2">
      <c r="B244" s="112"/>
      <c r="D244" s="99" t="s">
        <v>87</v>
      </c>
      <c r="E244" s="113" t="s">
        <v>0</v>
      </c>
      <c r="F244" s="114" t="s">
        <v>531</v>
      </c>
      <c r="H244" s="115">
        <f>0.1*4</f>
        <v>0.4</v>
      </c>
      <c r="I244" s="116"/>
      <c r="L244" s="112"/>
      <c r="M244" s="117"/>
      <c r="N244" s="118"/>
      <c r="O244" s="118"/>
      <c r="P244" s="118"/>
      <c r="Q244" s="118"/>
      <c r="R244" s="118"/>
      <c r="S244" s="118"/>
      <c r="T244" s="119"/>
      <c r="AT244" s="113" t="s">
        <v>87</v>
      </c>
      <c r="AU244" s="113" t="s">
        <v>47</v>
      </c>
      <c r="AV244" s="7" t="s">
        <v>47</v>
      </c>
      <c r="AW244" s="7" t="s">
        <v>19</v>
      </c>
      <c r="AX244" s="7" t="s">
        <v>45</v>
      </c>
      <c r="AY244" s="113" t="s">
        <v>75</v>
      </c>
    </row>
    <row r="245" spans="1:65" s="5" customFormat="1" ht="22.9" customHeight="1" x14ac:dyDescent="0.2">
      <c r="B245" s="72"/>
      <c r="D245" s="73" t="s">
        <v>44</v>
      </c>
      <c r="E245" s="83" t="s">
        <v>223</v>
      </c>
      <c r="F245" s="83" t="s">
        <v>288</v>
      </c>
      <c r="I245" s="75"/>
      <c r="J245" s="84">
        <f>BK245</f>
        <v>17503.27</v>
      </c>
      <c r="L245" s="72"/>
      <c r="M245" s="77"/>
      <c r="N245" s="78"/>
      <c r="O245" s="78"/>
      <c r="P245" s="79">
        <f>SUM(P246:P253)</f>
        <v>0</v>
      </c>
      <c r="Q245" s="78"/>
      <c r="R245" s="79">
        <f>SUM(R246:R253)</f>
        <v>0</v>
      </c>
      <c r="S245" s="78"/>
      <c r="T245" s="80">
        <f>SUM(T246:T253)</f>
        <v>0</v>
      </c>
      <c r="AR245" s="73" t="s">
        <v>46</v>
      </c>
      <c r="AT245" s="81" t="s">
        <v>44</v>
      </c>
      <c r="AU245" s="81" t="s">
        <v>46</v>
      </c>
      <c r="AY245" s="73" t="s">
        <v>75</v>
      </c>
      <c r="BK245" s="82">
        <f>SUM(BK246:BK253)</f>
        <v>17503.27</v>
      </c>
    </row>
    <row r="246" spans="1:65" s="1" customFormat="1" ht="24.2" customHeight="1" x14ac:dyDescent="0.2">
      <c r="A246" s="156"/>
      <c r="B246" s="85"/>
      <c r="C246" s="86" t="s">
        <v>289</v>
      </c>
      <c r="D246" s="86" t="s">
        <v>78</v>
      </c>
      <c r="E246" s="87" t="s">
        <v>170</v>
      </c>
      <c r="F246" s="88" t="s">
        <v>171</v>
      </c>
      <c r="G246" s="89" t="s">
        <v>100</v>
      </c>
      <c r="H246" s="90">
        <v>23.823</v>
      </c>
      <c r="I246" s="91">
        <v>130.95617506780872</v>
      </c>
      <c r="J246" s="92">
        <f>ROUND(I246*H246,2)</f>
        <v>3119.77</v>
      </c>
      <c r="K246" s="88" t="s">
        <v>82</v>
      </c>
      <c r="L246" s="16"/>
      <c r="M246" s="93" t="s">
        <v>0</v>
      </c>
      <c r="N246" s="94" t="s">
        <v>27</v>
      </c>
      <c r="O246" s="27"/>
      <c r="P246" s="95">
        <f>O246*H246</f>
        <v>0</v>
      </c>
      <c r="Q246" s="95">
        <v>0</v>
      </c>
      <c r="R246" s="95">
        <f>Q246*H246</f>
        <v>0</v>
      </c>
      <c r="S246" s="95">
        <v>0</v>
      </c>
      <c r="T246" s="96">
        <f>S246*H246</f>
        <v>0</v>
      </c>
      <c r="U246" s="156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R246" s="97" t="s">
        <v>83</v>
      </c>
      <c r="AT246" s="97" t="s">
        <v>78</v>
      </c>
      <c r="AU246" s="97" t="s">
        <v>47</v>
      </c>
      <c r="AY246" s="10" t="s">
        <v>75</v>
      </c>
      <c r="BE246" s="98">
        <f>IF(N246="základní",J246,0)</f>
        <v>3119.77</v>
      </c>
      <c r="BF246" s="98">
        <f>IF(N246="snížená",J246,0)</f>
        <v>0</v>
      </c>
      <c r="BG246" s="98">
        <f>IF(N246="zákl. přenesená",J246,0)</f>
        <v>0</v>
      </c>
      <c r="BH246" s="98">
        <f>IF(N246="sníž. přenesená",J246,0)</f>
        <v>0</v>
      </c>
      <c r="BI246" s="98">
        <f>IF(N246="nulová",J246,0)</f>
        <v>0</v>
      </c>
      <c r="BJ246" s="10" t="s">
        <v>46</v>
      </c>
      <c r="BK246" s="98">
        <f>ROUND(I246*H246,2)</f>
        <v>3119.77</v>
      </c>
      <c r="BL246" s="10" t="s">
        <v>83</v>
      </c>
      <c r="BM246" s="97" t="s">
        <v>290</v>
      </c>
    </row>
    <row r="247" spans="1:65" s="1" customFormat="1" ht="19.5" x14ac:dyDescent="0.2">
      <c r="A247" s="156"/>
      <c r="B247" s="16"/>
      <c r="C247" s="156"/>
      <c r="D247" s="99" t="s">
        <v>84</v>
      </c>
      <c r="E247" s="156"/>
      <c r="F247" s="100" t="s">
        <v>172</v>
      </c>
      <c r="G247" s="156"/>
      <c r="H247" s="156"/>
      <c r="I247" s="101"/>
      <c r="J247" s="156"/>
      <c r="K247" s="156"/>
      <c r="L247" s="16"/>
      <c r="M247" s="102"/>
      <c r="N247" s="103"/>
      <c r="O247" s="27"/>
      <c r="P247" s="27"/>
      <c r="Q247" s="27"/>
      <c r="R247" s="27"/>
      <c r="S247" s="27"/>
      <c r="T247" s="28"/>
      <c r="U247" s="156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T247" s="10" t="s">
        <v>84</v>
      </c>
      <c r="AU247" s="10" t="s">
        <v>47</v>
      </c>
    </row>
    <row r="248" spans="1:65" s="1" customFormat="1" ht="14.45" customHeight="1" x14ac:dyDescent="0.2">
      <c r="A248" s="156"/>
      <c r="B248" s="85"/>
      <c r="C248" s="86" t="s">
        <v>165</v>
      </c>
      <c r="D248" s="86" t="s">
        <v>78</v>
      </c>
      <c r="E248" s="87" t="s">
        <v>174</v>
      </c>
      <c r="F248" s="88" t="s">
        <v>175</v>
      </c>
      <c r="G248" s="89" t="s">
        <v>100</v>
      </c>
      <c r="H248" s="90">
        <v>23.823</v>
      </c>
      <c r="I248" s="91">
        <v>200.20823792465458</v>
      </c>
      <c r="J248" s="92">
        <f>ROUND(I248*H248,2)</f>
        <v>4769.5600000000004</v>
      </c>
      <c r="K248" s="88" t="s">
        <v>82</v>
      </c>
      <c r="L248" s="16"/>
      <c r="M248" s="93" t="s">
        <v>0</v>
      </c>
      <c r="N248" s="94" t="s">
        <v>27</v>
      </c>
      <c r="O248" s="27"/>
      <c r="P248" s="95">
        <f>O248*H248</f>
        <v>0</v>
      </c>
      <c r="Q248" s="95">
        <v>0</v>
      </c>
      <c r="R248" s="95">
        <f>Q248*H248</f>
        <v>0</v>
      </c>
      <c r="S248" s="95">
        <v>0</v>
      </c>
      <c r="T248" s="96">
        <f>S248*H248</f>
        <v>0</v>
      </c>
      <c r="U248" s="156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R248" s="97" t="s">
        <v>83</v>
      </c>
      <c r="AT248" s="97" t="s">
        <v>78</v>
      </c>
      <c r="AU248" s="97" t="s">
        <v>47</v>
      </c>
      <c r="AY248" s="10" t="s">
        <v>75</v>
      </c>
      <c r="BE248" s="98">
        <f>IF(N248="základní",J248,0)</f>
        <v>4769.5600000000004</v>
      </c>
      <c r="BF248" s="98">
        <f>IF(N248="snížená",J248,0)</f>
        <v>0</v>
      </c>
      <c r="BG248" s="98">
        <f>IF(N248="zákl. přenesená",J248,0)</f>
        <v>0</v>
      </c>
      <c r="BH248" s="98">
        <f>IF(N248="sníž. přenesená",J248,0)</f>
        <v>0</v>
      </c>
      <c r="BI248" s="98">
        <f>IF(N248="nulová",J248,0)</f>
        <v>0</v>
      </c>
      <c r="BJ248" s="10" t="s">
        <v>46</v>
      </c>
      <c r="BK248" s="98">
        <f>ROUND(I248*H248,2)</f>
        <v>4769.5600000000004</v>
      </c>
      <c r="BL248" s="10" t="s">
        <v>83</v>
      </c>
      <c r="BM248" s="97" t="s">
        <v>291</v>
      </c>
    </row>
    <row r="249" spans="1:65" s="1" customFormat="1" ht="19.5" x14ac:dyDescent="0.2">
      <c r="A249" s="156"/>
      <c r="B249" s="16"/>
      <c r="C249" s="156"/>
      <c r="D249" s="99" t="s">
        <v>84</v>
      </c>
      <c r="E249" s="156"/>
      <c r="F249" s="100" t="s">
        <v>176</v>
      </c>
      <c r="G249" s="156"/>
      <c r="H249" s="156"/>
      <c r="I249" s="101"/>
      <c r="J249" s="156"/>
      <c r="K249" s="156"/>
      <c r="L249" s="16"/>
      <c r="M249" s="102"/>
      <c r="N249" s="103"/>
      <c r="O249" s="27"/>
      <c r="P249" s="27"/>
      <c r="Q249" s="27"/>
      <c r="R249" s="27"/>
      <c r="S249" s="27"/>
      <c r="T249" s="28"/>
      <c r="U249" s="156"/>
      <c r="V249" s="156"/>
      <c r="W249" s="156"/>
      <c r="X249" s="156"/>
      <c r="Y249" s="156"/>
      <c r="Z249" s="156"/>
      <c r="AA249" s="156"/>
      <c r="AB249" s="156"/>
      <c r="AC249" s="156"/>
      <c r="AD249" s="156"/>
      <c r="AE249" s="156"/>
      <c r="AT249" s="10" t="s">
        <v>84</v>
      </c>
      <c r="AU249" s="10" t="s">
        <v>47</v>
      </c>
    </row>
    <row r="250" spans="1:65" s="1" customFormat="1" ht="24.2" customHeight="1" x14ac:dyDescent="0.2">
      <c r="A250" s="156"/>
      <c r="B250" s="85"/>
      <c r="C250" s="86" t="s">
        <v>292</v>
      </c>
      <c r="D250" s="86" t="s">
        <v>78</v>
      </c>
      <c r="E250" s="87" t="s">
        <v>293</v>
      </c>
      <c r="F250" s="88" t="s">
        <v>294</v>
      </c>
      <c r="G250" s="89" t="s">
        <v>100</v>
      </c>
      <c r="H250" s="90">
        <v>23.823</v>
      </c>
      <c r="I250" s="91">
        <v>40.878739778868102</v>
      </c>
      <c r="J250" s="92">
        <f>ROUND(I250*H250,2)</f>
        <v>973.85</v>
      </c>
      <c r="K250" s="88" t="s">
        <v>82</v>
      </c>
      <c r="L250" s="16"/>
      <c r="M250" s="93" t="s">
        <v>0</v>
      </c>
      <c r="N250" s="94" t="s">
        <v>27</v>
      </c>
      <c r="O250" s="27"/>
      <c r="P250" s="95">
        <f>O250*H250</f>
        <v>0</v>
      </c>
      <c r="Q250" s="95">
        <v>0</v>
      </c>
      <c r="R250" s="95">
        <f>Q250*H250</f>
        <v>0</v>
      </c>
      <c r="S250" s="95">
        <v>0</v>
      </c>
      <c r="T250" s="96">
        <f>S250*H250</f>
        <v>0</v>
      </c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R250" s="97" t="s">
        <v>83</v>
      </c>
      <c r="AT250" s="97" t="s">
        <v>78</v>
      </c>
      <c r="AU250" s="97" t="s">
        <v>47</v>
      </c>
      <c r="AY250" s="10" t="s">
        <v>75</v>
      </c>
      <c r="BE250" s="98">
        <f>IF(N250="základní",J250,0)</f>
        <v>973.85</v>
      </c>
      <c r="BF250" s="98">
        <f>IF(N250="snížená",J250,0)</f>
        <v>0</v>
      </c>
      <c r="BG250" s="98">
        <f>IF(N250="zákl. přenesená",J250,0)</f>
        <v>0</v>
      </c>
      <c r="BH250" s="98">
        <f>IF(N250="sníž. přenesená",J250,0)</f>
        <v>0</v>
      </c>
      <c r="BI250" s="98">
        <f>IF(N250="nulová",J250,0)</f>
        <v>0</v>
      </c>
      <c r="BJ250" s="10" t="s">
        <v>46</v>
      </c>
      <c r="BK250" s="98">
        <f>ROUND(I250*H250,2)</f>
        <v>973.85</v>
      </c>
      <c r="BL250" s="10" t="s">
        <v>83</v>
      </c>
      <c r="BM250" s="97" t="s">
        <v>295</v>
      </c>
    </row>
    <row r="251" spans="1:65" s="1" customFormat="1" ht="19.5" x14ac:dyDescent="0.2">
      <c r="A251" s="156"/>
      <c r="B251" s="16"/>
      <c r="C251" s="156"/>
      <c r="D251" s="99" t="s">
        <v>84</v>
      </c>
      <c r="E251" s="156"/>
      <c r="F251" s="100" t="s">
        <v>296</v>
      </c>
      <c r="G251" s="156"/>
      <c r="H251" s="156"/>
      <c r="I251" s="101"/>
      <c r="J251" s="156"/>
      <c r="K251" s="156"/>
      <c r="L251" s="16"/>
      <c r="M251" s="102"/>
      <c r="N251" s="103"/>
      <c r="O251" s="27"/>
      <c r="P251" s="27"/>
      <c r="Q251" s="27"/>
      <c r="R251" s="27"/>
      <c r="S251" s="27"/>
      <c r="T251" s="28"/>
      <c r="U251" s="156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  <c r="AT251" s="10" t="s">
        <v>84</v>
      </c>
      <c r="AU251" s="10" t="s">
        <v>47</v>
      </c>
    </row>
    <row r="252" spans="1:65" s="1" customFormat="1" ht="24.2" customHeight="1" x14ac:dyDescent="0.2">
      <c r="A252" s="156"/>
      <c r="B252" s="85"/>
      <c r="C252" s="86" t="s">
        <v>297</v>
      </c>
      <c r="D252" s="86" t="s">
        <v>78</v>
      </c>
      <c r="E252" s="87" t="s">
        <v>178</v>
      </c>
      <c r="F252" s="88" t="s">
        <v>179</v>
      </c>
      <c r="G252" s="89" t="s">
        <v>100</v>
      </c>
      <c r="H252" s="90">
        <v>23.823</v>
      </c>
      <c r="I252" s="91">
        <v>362.67856108310502</v>
      </c>
      <c r="J252" s="92">
        <f>ROUND(I252*H252,2)</f>
        <v>8640.09</v>
      </c>
      <c r="K252" s="88" t="s">
        <v>82</v>
      </c>
      <c r="L252" s="16"/>
      <c r="M252" s="93" t="s">
        <v>0</v>
      </c>
      <c r="N252" s="94" t="s">
        <v>27</v>
      </c>
      <c r="O252" s="27"/>
      <c r="P252" s="95">
        <f>O252*H252</f>
        <v>0</v>
      </c>
      <c r="Q252" s="95">
        <v>0</v>
      </c>
      <c r="R252" s="95">
        <f>Q252*H252</f>
        <v>0</v>
      </c>
      <c r="S252" s="95">
        <v>0</v>
      </c>
      <c r="T252" s="96">
        <f>S252*H252</f>
        <v>0</v>
      </c>
      <c r="U252" s="156"/>
      <c r="V252" s="156"/>
      <c r="W252" s="156"/>
      <c r="X252" s="156"/>
      <c r="Y252" s="156"/>
      <c r="Z252" s="156"/>
      <c r="AA252" s="156"/>
      <c r="AB252" s="156"/>
      <c r="AC252" s="156"/>
      <c r="AD252" s="156"/>
      <c r="AE252" s="156"/>
      <c r="AR252" s="97" t="s">
        <v>83</v>
      </c>
      <c r="AT252" s="97" t="s">
        <v>78</v>
      </c>
      <c r="AU252" s="97" t="s">
        <v>47</v>
      </c>
      <c r="AY252" s="10" t="s">
        <v>75</v>
      </c>
      <c r="BE252" s="98">
        <f>IF(N252="základní",J252,0)</f>
        <v>8640.09</v>
      </c>
      <c r="BF252" s="98">
        <f>IF(N252="snížená",J252,0)</f>
        <v>0</v>
      </c>
      <c r="BG252" s="98">
        <f>IF(N252="zákl. přenesená",J252,0)</f>
        <v>0</v>
      </c>
      <c r="BH252" s="98">
        <f>IF(N252="sníž. přenesená",J252,0)</f>
        <v>0</v>
      </c>
      <c r="BI252" s="98">
        <f>IF(N252="nulová",J252,0)</f>
        <v>0</v>
      </c>
      <c r="BJ252" s="10" t="s">
        <v>46</v>
      </c>
      <c r="BK252" s="98">
        <f>ROUND(I252*H252,2)</f>
        <v>8640.09</v>
      </c>
      <c r="BL252" s="10" t="s">
        <v>83</v>
      </c>
      <c r="BM252" s="97" t="s">
        <v>298</v>
      </c>
    </row>
    <row r="253" spans="1:65" s="1" customFormat="1" ht="29.25" x14ac:dyDescent="0.2">
      <c r="A253" s="156"/>
      <c r="B253" s="16"/>
      <c r="C253" s="156"/>
      <c r="D253" s="99" t="s">
        <v>84</v>
      </c>
      <c r="E253" s="156"/>
      <c r="F253" s="100" t="s">
        <v>180</v>
      </c>
      <c r="G253" s="156"/>
      <c r="H253" s="156"/>
      <c r="I253" s="101"/>
      <c r="J253" s="156"/>
      <c r="K253" s="156"/>
      <c r="L253" s="16"/>
      <c r="M253" s="102"/>
      <c r="N253" s="103"/>
      <c r="O253" s="27"/>
      <c r="P253" s="27"/>
      <c r="Q253" s="27"/>
      <c r="R253" s="27"/>
      <c r="S253" s="27"/>
      <c r="T253" s="28"/>
      <c r="U253" s="156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T253" s="10" t="s">
        <v>84</v>
      </c>
      <c r="AU253" s="10" t="s">
        <v>47</v>
      </c>
    </row>
    <row r="254" spans="1:65" s="5" customFormat="1" ht="22.9" customHeight="1" x14ac:dyDescent="0.2">
      <c r="B254" s="72"/>
      <c r="D254" s="73" t="s">
        <v>44</v>
      </c>
      <c r="E254" s="83" t="s">
        <v>129</v>
      </c>
      <c r="F254" s="83" t="s">
        <v>300</v>
      </c>
      <c r="I254" s="75"/>
      <c r="J254" s="84">
        <f>BK254</f>
        <v>157968.76999999999</v>
      </c>
      <c r="L254" s="72"/>
      <c r="M254" s="77"/>
      <c r="N254" s="78"/>
      <c r="O254" s="78"/>
      <c r="P254" s="79">
        <f>SUM(P255:P297)</f>
        <v>0</v>
      </c>
      <c r="Q254" s="78"/>
      <c r="R254" s="79">
        <f>SUM(R255:R297)</f>
        <v>2.3462133999999999</v>
      </c>
      <c r="S254" s="78"/>
      <c r="T254" s="80">
        <f>SUM(T255:T297)</f>
        <v>0</v>
      </c>
      <c r="AR254" s="73" t="s">
        <v>46</v>
      </c>
      <c r="AT254" s="81" t="s">
        <v>44</v>
      </c>
      <c r="AU254" s="81" t="s">
        <v>46</v>
      </c>
      <c r="AY254" s="73" t="s">
        <v>75</v>
      </c>
      <c r="BK254" s="82">
        <f>SUM(BK255:BK297)</f>
        <v>157968.76999999999</v>
      </c>
    </row>
    <row r="255" spans="1:65" s="1" customFormat="1" ht="24.2" customHeight="1" x14ac:dyDescent="0.2">
      <c r="A255" s="156"/>
      <c r="B255" s="85"/>
      <c r="C255" s="86" t="s">
        <v>301</v>
      </c>
      <c r="D255" s="86" t="s">
        <v>78</v>
      </c>
      <c r="E255" s="87" t="s">
        <v>302</v>
      </c>
      <c r="F255" s="88" t="s">
        <v>303</v>
      </c>
      <c r="G255" s="89" t="s">
        <v>270</v>
      </c>
      <c r="H255" s="90">
        <v>26.47</v>
      </c>
      <c r="I255" s="91">
        <v>617.16852473597498</v>
      </c>
      <c r="J255" s="92">
        <f>ROUND(I255*H255,2)</f>
        <v>16336.45</v>
      </c>
      <c r="K255" s="88" t="s">
        <v>82</v>
      </c>
      <c r="L255" s="16"/>
      <c r="M255" s="93" t="s">
        <v>0</v>
      </c>
      <c r="N255" s="94" t="s">
        <v>27</v>
      </c>
      <c r="O255" s="27"/>
      <c r="P255" s="95">
        <f>O255*H255</f>
        <v>0</v>
      </c>
      <c r="Q255" s="95">
        <v>4.2199999999999998E-3</v>
      </c>
      <c r="R255" s="95">
        <f>Q255*H255</f>
        <v>0.11170339999999999</v>
      </c>
      <c r="S255" s="95">
        <v>0</v>
      </c>
      <c r="T255" s="96">
        <f>S255*H255</f>
        <v>0</v>
      </c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R255" s="97" t="s">
        <v>83</v>
      </c>
      <c r="AT255" s="97" t="s">
        <v>78</v>
      </c>
      <c r="AU255" s="97" t="s">
        <v>47</v>
      </c>
      <c r="AY255" s="10" t="s">
        <v>75</v>
      </c>
      <c r="BE255" s="98">
        <f>IF(N255="základní",J255,0)</f>
        <v>16336.45</v>
      </c>
      <c r="BF255" s="98">
        <f>IF(N255="snížená",J255,0)</f>
        <v>0</v>
      </c>
      <c r="BG255" s="98">
        <f>IF(N255="zákl. přenesená",J255,0)</f>
        <v>0</v>
      </c>
      <c r="BH255" s="98">
        <f>IF(N255="sníž. přenesená",J255,0)</f>
        <v>0</v>
      </c>
      <c r="BI255" s="98">
        <f>IF(N255="nulová",J255,0)</f>
        <v>0</v>
      </c>
      <c r="BJ255" s="10" t="s">
        <v>46</v>
      </c>
      <c r="BK255" s="98">
        <f>ROUND(I255*H255,2)</f>
        <v>16336.45</v>
      </c>
      <c r="BL255" s="10" t="s">
        <v>83</v>
      </c>
      <c r="BM255" s="97" t="s">
        <v>304</v>
      </c>
    </row>
    <row r="256" spans="1:65" s="1" customFormat="1" ht="29.25" x14ac:dyDescent="0.2">
      <c r="A256" s="156"/>
      <c r="B256" s="16"/>
      <c r="C256" s="156"/>
      <c r="D256" s="99" t="s">
        <v>84</v>
      </c>
      <c r="E256" s="156"/>
      <c r="F256" s="100" t="s">
        <v>305</v>
      </c>
      <c r="G256" s="156"/>
      <c r="H256" s="156"/>
      <c r="I256" s="101"/>
      <c r="J256" s="156"/>
      <c r="K256" s="156"/>
      <c r="L256" s="16"/>
      <c r="M256" s="102"/>
      <c r="N256" s="103"/>
      <c r="O256" s="27"/>
      <c r="P256" s="27"/>
      <c r="Q256" s="27"/>
      <c r="R256" s="27"/>
      <c r="S256" s="27"/>
      <c r="T256" s="28"/>
      <c r="U256" s="156"/>
      <c r="V256" s="156"/>
      <c r="W256" s="156"/>
      <c r="X256" s="156"/>
      <c r="Y256" s="156"/>
      <c r="Z256" s="156"/>
      <c r="AA256" s="156"/>
      <c r="AB256" s="156"/>
      <c r="AC256" s="156"/>
      <c r="AD256" s="156"/>
      <c r="AE256" s="156"/>
      <c r="AT256" s="10" t="s">
        <v>84</v>
      </c>
      <c r="AU256" s="10" t="s">
        <v>47</v>
      </c>
    </row>
    <row r="257" spans="1:65" s="1" customFormat="1" ht="29.25" x14ac:dyDescent="0.2">
      <c r="A257" s="156"/>
      <c r="B257" s="16"/>
      <c r="C257" s="156"/>
      <c r="D257" s="99" t="s">
        <v>86</v>
      </c>
      <c r="E257" s="156"/>
      <c r="F257" s="104" t="s">
        <v>414</v>
      </c>
      <c r="G257" s="156"/>
      <c r="H257" s="156"/>
      <c r="I257" s="101"/>
      <c r="J257" s="156"/>
      <c r="K257" s="156"/>
      <c r="L257" s="16"/>
      <c r="M257" s="102"/>
      <c r="N257" s="103"/>
      <c r="O257" s="27"/>
      <c r="P257" s="27"/>
      <c r="Q257" s="27"/>
      <c r="R257" s="27"/>
      <c r="S257" s="27"/>
      <c r="T257" s="28"/>
      <c r="U257" s="156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T257" s="10" t="s">
        <v>86</v>
      </c>
      <c r="AU257" s="10" t="s">
        <v>47</v>
      </c>
    </row>
    <row r="258" spans="1:65" s="7" customFormat="1" x14ac:dyDescent="0.2">
      <c r="B258" s="112"/>
      <c r="D258" s="99" t="s">
        <v>87</v>
      </c>
      <c r="E258" s="113" t="s">
        <v>0</v>
      </c>
      <c r="F258" s="114">
        <v>16</v>
      </c>
      <c r="H258" s="115">
        <v>16</v>
      </c>
      <c r="I258" s="116"/>
      <c r="L258" s="112"/>
      <c r="M258" s="117"/>
      <c r="N258" s="118"/>
      <c r="O258" s="118"/>
      <c r="P258" s="118"/>
      <c r="Q258" s="118"/>
      <c r="R258" s="118"/>
      <c r="S258" s="118"/>
      <c r="T258" s="119"/>
      <c r="AT258" s="113" t="s">
        <v>87</v>
      </c>
      <c r="AU258" s="113" t="s">
        <v>47</v>
      </c>
      <c r="AV258" s="7" t="s">
        <v>47</v>
      </c>
      <c r="AW258" s="7" t="s">
        <v>19</v>
      </c>
      <c r="AX258" s="7" t="s">
        <v>46</v>
      </c>
      <c r="AY258" s="113" t="s">
        <v>75</v>
      </c>
    </row>
    <row r="259" spans="1:65" s="1" customFormat="1" ht="24.2" customHeight="1" x14ac:dyDescent="0.2">
      <c r="A259" s="156"/>
      <c r="B259" s="85"/>
      <c r="C259" s="86" t="s">
        <v>306</v>
      </c>
      <c r="D259" s="86" t="s">
        <v>78</v>
      </c>
      <c r="E259" s="87" t="s">
        <v>307</v>
      </c>
      <c r="F259" s="88" t="s">
        <v>308</v>
      </c>
      <c r="G259" s="89" t="s">
        <v>309</v>
      </c>
      <c r="H259" s="90">
        <v>18</v>
      </c>
      <c r="I259" s="91">
        <v>214.24530512569368</v>
      </c>
      <c r="J259" s="92">
        <f>ROUND(I259*H259,2)</f>
        <v>3856.42</v>
      </c>
      <c r="K259" s="88" t="s">
        <v>82</v>
      </c>
      <c r="L259" s="16"/>
      <c r="M259" s="93" t="s">
        <v>0</v>
      </c>
      <c r="N259" s="94" t="s">
        <v>27</v>
      </c>
      <c r="O259" s="27"/>
      <c r="P259" s="95">
        <f>O259*H259</f>
        <v>0</v>
      </c>
      <c r="Q259" s="95">
        <v>0</v>
      </c>
      <c r="R259" s="95">
        <f>Q259*H259</f>
        <v>0</v>
      </c>
      <c r="S259" s="95">
        <v>0</v>
      </c>
      <c r="T259" s="96">
        <f>S259*H259</f>
        <v>0</v>
      </c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R259" s="97" t="s">
        <v>83</v>
      </c>
      <c r="AT259" s="97" t="s">
        <v>78</v>
      </c>
      <c r="AU259" s="97" t="s">
        <v>47</v>
      </c>
      <c r="AY259" s="10" t="s">
        <v>75</v>
      </c>
      <c r="BE259" s="98">
        <f>IF(N259="základní",J259,0)</f>
        <v>3856.42</v>
      </c>
      <c r="BF259" s="98">
        <f>IF(N259="snížená",J259,0)</f>
        <v>0</v>
      </c>
      <c r="BG259" s="98">
        <f>IF(N259="zákl. přenesená",J259,0)</f>
        <v>0</v>
      </c>
      <c r="BH259" s="98">
        <f>IF(N259="sníž. přenesená",J259,0)</f>
        <v>0</v>
      </c>
      <c r="BI259" s="98">
        <f>IF(N259="nulová",J259,0)</f>
        <v>0</v>
      </c>
      <c r="BJ259" s="10" t="s">
        <v>46</v>
      </c>
      <c r="BK259" s="98">
        <f>ROUND(I259*H259,2)</f>
        <v>3856.42</v>
      </c>
      <c r="BL259" s="10" t="s">
        <v>83</v>
      </c>
      <c r="BM259" s="97" t="s">
        <v>310</v>
      </c>
    </row>
    <row r="260" spans="1:65" s="1" customFormat="1" ht="19.5" x14ac:dyDescent="0.2">
      <c r="A260" s="156"/>
      <c r="B260" s="16"/>
      <c r="C260" s="156"/>
      <c r="D260" s="99" t="s">
        <v>84</v>
      </c>
      <c r="E260" s="156"/>
      <c r="F260" s="100" t="s">
        <v>311</v>
      </c>
      <c r="G260" s="156"/>
      <c r="H260" s="156"/>
      <c r="I260" s="101"/>
      <c r="J260" s="156"/>
      <c r="K260" s="156"/>
      <c r="L260" s="16"/>
      <c r="M260" s="102"/>
      <c r="N260" s="103"/>
      <c r="O260" s="27"/>
      <c r="P260" s="27"/>
      <c r="Q260" s="27"/>
      <c r="R260" s="27"/>
      <c r="S260" s="27"/>
      <c r="T260" s="28"/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T260" s="10" t="s">
        <v>84</v>
      </c>
      <c r="AU260" s="10" t="s">
        <v>47</v>
      </c>
    </row>
    <row r="261" spans="1:65" s="1" customFormat="1" ht="29.25" x14ac:dyDescent="0.2">
      <c r="A261" s="156"/>
      <c r="B261" s="16"/>
      <c r="C261" s="156"/>
      <c r="D261" s="99" t="s">
        <v>86</v>
      </c>
      <c r="E261" s="156"/>
      <c r="F261" s="104" t="s">
        <v>414</v>
      </c>
      <c r="G261" s="156"/>
      <c r="H261" s="156"/>
      <c r="I261" s="101"/>
      <c r="J261" s="156"/>
      <c r="K261" s="156"/>
      <c r="L261" s="16"/>
      <c r="M261" s="102"/>
      <c r="N261" s="103"/>
      <c r="O261" s="27"/>
      <c r="P261" s="27"/>
      <c r="Q261" s="27"/>
      <c r="R261" s="27"/>
      <c r="S261" s="27"/>
      <c r="T261" s="28"/>
      <c r="U261" s="156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/>
      <c r="AT261" s="10" t="s">
        <v>86</v>
      </c>
      <c r="AU261" s="10" t="s">
        <v>47</v>
      </c>
    </row>
    <row r="262" spans="1:65" s="1" customFormat="1" ht="14.45" customHeight="1" x14ac:dyDescent="0.2">
      <c r="A262" s="156"/>
      <c r="B262" s="85"/>
      <c r="C262" s="136" t="s">
        <v>312</v>
      </c>
      <c r="D262" s="136" t="s">
        <v>126</v>
      </c>
      <c r="E262" s="137" t="s">
        <v>313</v>
      </c>
      <c r="F262" s="138" t="s">
        <v>314</v>
      </c>
      <c r="G262" s="139" t="s">
        <v>309</v>
      </c>
      <c r="H262" s="140">
        <v>9</v>
      </c>
      <c r="I262" s="141">
        <v>100.40486420000001</v>
      </c>
      <c r="J262" s="142">
        <f>ROUND(I262*H262,2)</f>
        <v>903.64</v>
      </c>
      <c r="K262" s="138" t="s">
        <v>82</v>
      </c>
      <c r="L262" s="143"/>
      <c r="M262" s="144" t="s">
        <v>0</v>
      </c>
      <c r="N262" s="145" t="s">
        <v>27</v>
      </c>
      <c r="O262" s="27"/>
      <c r="P262" s="95">
        <f>O262*H262</f>
        <v>0</v>
      </c>
      <c r="Q262" s="95">
        <v>6.4999999999999997E-4</v>
      </c>
      <c r="R262" s="95">
        <f>Q262*H262</f>
        <v>5.8499999999999993E-3</v>
      </c>
      <c r="S262" s="95">
        <v>0</v>
      </c>
      <c r="T262" s="96">
        <f>S262*H262</f>
        <v>0</v>
      </c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R262" s="97" t="s">
        <v>129</v>
      </c>
      <c r="AT262" s="97" t="s">
        <v>126</v>
      </c>
      <c r="AU262" s="97" t="s">
        <v>47</v>
      </c>
      <c r="AY262" s="10" t="s">
        <v>75</v>
      </c>
      <c r="BE262" s="98">
        <f>IF(N262="základní",J262,0)</f>
        <v>903.64</v>
      </c>
      <c r="BF262" s="98">
        <f>IF(N262="snížená",J262,0)</f>
        <v>0</v>
      </c>
      <c r="BG262" s="98">
        <f>IF(N262="zákl. přenesená",J262,0)</f>
        <v>0</v>
      </c>
      <c r="BH262" s="98">
        <f>IF(N262="sníž. přenesená",J262,0)</f>
        <v>0</v>
      </c>
      <c r="BI262" s="98">
        <f>IF(N262="nulová",J262,0)</f>
        <v>0</v>
      </c>
      <c r="BJ262" s="10" t="s">
        <v>46</v>
      </c>
      <c r="BK262" s="98">
        <f>ROUND(I262*H262,2)</f>
        <v>903.64</v>
      </c>
      <c r="BL262" s="10" t="s">
        <v>83</v>
      </c>
      <c r="BM262" s="97" t="s">
        <v>315</v>
      </c>
    </row>
    <row r="263" spans="1:65" s="1" customFormat="1" x14ac:dyDescent="0.2">
      <c r="A263" s="156"/>
      <c r="B263" s="16"/>
      <c r="C263" s="156"/>
      <c r="D263" s="99" t="s">
        <v>84</v>
      </c>
      <c r="E263" s="156"/>
      <c r="F263" s="100" t="s">
        <v>316</v>
      </c>
      <c r="G263" s="156"/>
      <c r="H263" s="156"/>
      <c r="I263" s="101"/>
      <c r="J263" s="156"/>
      <c r="K263" s="156"/>
      <c r="L263" s="16"/>
      <c r="M263" s="102"/>
      <c r="N263" s="103"/>
      <c r="O263" s="27"/>
      <c r="P263" s="27"/>
      <c r="Q263" s="27"/>
      <c r="R263" s="27"/>
      <c r="S263" s="27"/>
      <c r="T263" s="28"/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T263" s="10" t="s">
        <v>84</v>
      </c>
      <c r="AU263" s="10" t="s">
        <v>47</v>
      </c>
    </row>
    <row r="264" spans="1:65" s="1" customFormat="1" ht="14.45" customHeight="1" x14ac:dyDescent="0.2">
      <c r="A264" s="156"/>
      <c r="B264" s="85"/>
      <c r="C264" s="136" t="s">
        <v>317</v>
      </c>
      <c r="D264" s="136" t="s">
        <v>126</v>
      </c>
      <c r="E264" s="137" t="s">
        <v>318</v>
      </c>
      <c r="F264" s="138" t="s">
        <v>319</v>
      </c>
      <c r="G264" s="139" t="s">
        <v>309</v>
      </c>
      <c r="H264" s="140">
        <v>9</v>
      </c>
      <c r="I264" s="141">
        <v>236.80392499999999</v>
      </c>
      <c r="J264" s="142">
        <f>ROUND(I264*H264,2)</f>
        <v>2131.2399999999998</v>
      </c>
      <c r="K264" s="138" t="s">
        <v>0</v>
      </c>
      <c r="L264" s="143"/>
      <c r="M264" s="144" t="s">
        <v>0</v>
      </c>
      <c r="N264" s="145" t="s">
        <v>27</v>
      </c>
      <c r="O264" s="27"/>
      <c r="P264" s="95">
        <f>O264*H264</f>
        <v>0</v>
      </c>
      <c r="Q264" s="95">
        <v>6.4999999999999997E-4</v>
      </c>
      <c r="R264" s="95">
        <f>Q264*H264</f>
        <v>5.8499999999999993E-3</v>
      </c>
      <c r="S264" s="95">
        <v>0</v>
      </c>
      <c r="T264" s="96">
        <f>S264*H264</f>
        <v>0</v>
      </c>
      <c r="U264" s="156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R264" s="97" t="s">
        <v>129</v>
      </c>
      <c r="AT264" s="97" t="s">
        <v>126</v>
      </c>
      <c r="AU264" s="97" t="s">
        <v>47</v>
      </c>
      <c r="AY264" s="10" t="s">
        <v>75</v>
      </c>
      <c r="BE264" s="98">
        <f>IF(N264="základní",J264,0)</f>
        <v>2131.2399999999998</v>
      </c>
      <c r="BF264" s="98">
        <f>IF(N264="snížená",J264,0)</f>
        <v>0</v>
      </c>
      <c r="BG264" s="98">
        <f>IF(N264="zákl. přenesená",J264,0)</f>
        <v>0</v>
      </c>
      <c r="BH264" s="98">
        <f>IF(N264="sníž. přenesená",J264,0)</f>
        <v>0</v>
      </c>
      <c r="BI264" s="98">
        <f>IF(N264="nulová",J264,0)</f>
        <v>0</v>
      </c>
      <c r="BJ264" s="10" t="s">
        <v>46</v>
      </c>
      <c r="BK264" s="98">
        <f>ROUND(I264*H264,2)</f>
        <v>2131.2399999999998</v>
      </c>
      <c r="BL264" s="10" t="s">
        <v>83</v>
      </c>
      <c r="BM264" s="97" t="s">
        <v>320</v>
      </c>
    </row>
    <row r="265" spans="1:65" s="1" customFormat="1" x14ac:dyDescent="0.2">
      <c r="A265" s="156"/>
      <c r="B265" s="16"/>
      <c r="C265" s="156"/>
      <c r="D265" s="99" t="s">
        <v>84</v>
      </c>
      <c r="E265" s="156"/>
      <c r="F265" s="100" t="s">
        <v>319</v>
      </c>
      <c r="G265" s="156"/>
      <c r="H265" s="156"/>
      <c r="I265" s="101"/>
      <c r="J265" s="156"/>
      <c r="K265" s="156"/>
      <c r="L265" s="16"/>
      <c r="M265" s="102"/>
      <c r="N265" s="103"/>
      <c r="O265" s="27"/>
      <c r="P265" s="27"/>
      <c r="Q265" s="27"/>
      <c r="R265" s="27"/>
      <c r="S265" s="27"/>
      <c r="T265" s="28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T265" s="10" t="s">
        <v>84</v>
      </c>
      <c r="AU265" s="10" t="s">
        <v>47</v>
      </c>
    </row>
    <row r="266" spans="1:65" s="1" customFormat="1" ht="14.45" customHeight="1" x14ac:dyDescent="0.2">
      <c r="A266" s="156"/>
      <c r="B266" s="85"/>
      <c r="C266" s="86" t="s">
        <v>321</v>
      </c>
      <c r="D266" s="86" t="s">
        <v>78</v>
      </c>
      <c r="E266" s="87" t="s">
        <v>322</v>
      </c>
      <c r="F266" s="88" t="s">
        <v>323</v>
      </c>
      <c r="G266" s="89" t="s">
        <v>309</v>
      </c>
      <c r="H266" s="90">
        <v>9</v>
      </c>
      <c r="I266" s="91">
        <v>214.24530512569368</v>
      </c>
      <c r="J266" s="92">
        <f>ROUND(I266*H266,2)</f>
        <v>1928.21</v>
      </c>
      <c r="K266" s="88" t="s">
        <v>82</v>
      </c>
      <c r="L266" s="16"/>
      <c r="M266" s="93" t="s">
        <v>0</v>
      </c>
      <c r="N266" s="94" t="s">
        <v>27</v>
      </c>
      <c r="O266" s="27"/>
      <c r="P266" s="95">
        <f>O266*H266</f>
        <v>0</v>
      </c>
      <c r="Q266" s="95">
        <v>0</v>
      </c>
      <c r="R266" s="95">
        <f>Q266*H266</f>
        <v>0</v>
      </c>
      <c r="S266" s="95">
        <v>0</v>
      </c>
      <c r="T266" s="96">
        <f>S266*H266</f>
        <v>0</v>
      </c>
      <c r="U266" s="156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R266" s="97" t="s">
        <v>83</v>
      </c>
      <c r="AT266" s="97" t="s">
        <v>78</v>
      </c>
      <c r="AU266" s="97" t="s">
        <v>47</v>
      </c>
      <c r="AY266" s="10" t="s">
        <v>75</v>
      </c>
      <c r="BE266" s="98">
        <f>IF(N266="základní",J266,0)</f>
        <v>1928.21</v>
      </c>
      <c r="BF266" s="98">
        <f>IF(N266="snížená",J266,0)</f>
        <v>0</v>
      </c>
      <c r="BG266" s="98">
        <f>IF(N266="zákl. přenesená",J266,0)</f>
        <v>0</v>
      </c>
      <c r="BH266" s="98">
        <f>IF(N266="sníž. přenesená",J266,0)</f>
        <v>0</v>
      </c>
      <c r="BI266" s="98">
        <f>IF(N266="nulová",J266,0)</f>
        <v>0</v>
      </c>
      <c r="BJ266" s="10" t="s">
        <v>46</v>
      </c>
      <c r="BK266" s="98">
        <f>ROUND(I266*H266,2)</f>
        <v>1928.21</v>
      </c>
      <c r="BL266" s="10" t="s">
        <v>83</v>
      </c>
      <c r="BM266" s="97" t="s">
        <v>324</v>
      </c>
    </row>
    <row r="267" spans="1:65" s="1" customFormat="1" ht="19.5" x14ac:dyDescent="0.2">
      <c r="A267" s="156"/>
      <c r="B267" s="16"/>
      <c r="C267" s="156"/>
      <c r="D267" s="99" t="s">
        <v>84</v>
      </c>
      <c r="E267" s="156"/>
      <c r="F267" s="100" t="s">
        <v>325</v>
      </c>
      <c r="G267" s="156"/>
      <c r="H267" s="156"/>
      <c r="I267" s="101"/>
      <c r="J267" s="156"/>
      <c r="K267" s="156"/>
      <c r="L267" s="16"/>
      <c r="M267" s="102"/>
      <c r="N267" s="103"/>
      <c r="O267" s="27"/>
      <c r="P267" s="27"/>
      <c r="Q267" s="27"/>
      <c r="R267" s="27"/>
      <c r="S267" s="27"/>
      <c r="T267" s="28"/>
      <c r="U267" s="156"/>
      <c r="V267" s="156"/>
      <c r="W267" s="156"/>
      <c r="X267" s="156"/>
      <c r="Y267" s="156"/>
      <c r="Z267" s="156"/>
      <c r="AA267" s="156"/>
      <c r="AB267" s="156"/>
      <c r="AC267" s="156"/>
      <c r="AD267" s="156"/>
      <c r="AE267" s="156"/>
      <c r="AT267" s="10" t="s">
        <v>84</v>
      </c>
      <c r="AU267" s="10" t="s">
        <v>47</v>
      </c>
    </row>
    <row r="268" spans="1:65" s="1" customFormat="1" ht="29.25" x14ac:dyDescent="0.2">
      <c r="A268" s="156"/>
      <c r="B268" s="16"/>
      <c r="C268" s="156"/>
      <c r="D268" s="99" t="s">
        <v>86</v>
      </c>
      <c r="E268" s="156"/>
      <c r="F268" s="104" t="s">
        <v>414</v>
      </c>
      <c r="G268" s="156"/>
      <c r="H268" s="156"/>
      <c r="I268" s="101"/>
      <c r="J268" s="156"/>
      <c r="K268" s="156"/>
      <c r="L268" s="16"/>
      <c r="M268" s="102"/>
      <c r="N268" s="103"/>
      <c r="O268" s="27"/>
      <c r="P268" s="27"/>
      <c r="Q268" s="27"/>
      <c r="R268" s="27"/>
      <c r="S268" s="27"/>
      <c r="T268" s="28"/>
      <c r="U268" s="156"/>
      <c r="V268" s="156"/>
      <c r="W268" s="156"/>
      <c r="X268" s="156"/>
      <c r="Y268" s="156"/>
      <c r="Z268" s="156"/>
      <c r="AA268" s="156"/>
      <c r="AB268" s="156"/>
      <c r="AC268" s="156"/>
      <c r="AD268" s="156"/>
      <c r="AE268" s="156"/>
      <c r="AT268" s="10" t="s">
        <v>86</v>
      </c>
      <c r="AU268" s="10" t="s">
        <v>47</v>
      </c>
    </row>
    <row r="269" spans="1:65" s="6" customFormat="1" x14ac:dyDescent="0.2">
      <c r="B269" s="105"/>
      <c r="D269" s="99" t="s">
        <v>87</v>
      </c>
      <c r="E269" s="106" t="s">
        <v>0</v>
      </c>
      <c r="F269" s="107" t="s">
        <v>326</v>
      </c>
      <c r="H269" s="106" t="s">
        <v>0</v>
      </c>
      <c r="I269" s="108"/>
      <c r="L269" s="105"/>
      <c r="M269" s="109"/>
      <c r="N269" s="110"/>
      <c r="O269" s="110"/>
      <c r="P269" s="110"/>
      <c r="Q269" s="110"/>
      <c r="R269" s="110"/>
      <c r="S269" s="110"/>
      <c r="T269" s="111"/>
      <c r="AT269" s="106" t="s">
        <v>87</v>
      </c>
      <c r="AU269" s="106" t="s">
        <v>47</v>
      </c>
      <c r="AV269" s="6" t="s">
        <v>46</v>
      </c>
      <c r="AW269" s="6" t="s">
        <v>19</v>
      </c>
      <c r="AX269" s="6" t="s">
        <v>45</v>
      </c>
      <c r="AY269" s="106" t="s">
        <v>75</v>
      </c>
    </row>
    <row r="270" spans="1:65" s="7" customFormat="1" x14ac:dyDescent="0.2">
      <c r="B270" s="112"/>
      <c r="D270" s="99" t="s">
        <v>87</v>
      </c>
      <c r="E270" s="113" t="s">
        <v>0</v>
      </c>
      <c r="F270" s="114" t="s">
        <v>389</v>
      </c>
      <c r="H270" s="115">
        <v>9</v>
      </c>
      <c r="I270" s="116"/>
      <c r="L270" s="112"/>
      <c r="M270" s="117"/>
      <c r="N270" s="118"/>
      <c r="O270" s="118"/>
      <c r="P270" s="118"/>
      <c r="Q270" s="118"/>
      <c r="R270" s="118"/>
      <c r="S270" s="118"/>
      <c r="T270" s="119"/>
      <c r="AT270" s="113" t="s">
        <v>87</v>
      </c>
      <c r="AU270" s="113" t="s">
        <v>47</v>
      </c>
      <c r="AV270" s="7" t="s">
        <v>47</v>
      </c>
      <c r="AW270" s="7" t="s">
        <v>19</v>
      </c>
      <c r="AX270" s="7" t="s">
        <v>46</v>
      </c>
      <c r="AY270" s="113" t="s">
        <v>75</v>
      </c>
    </row>
    <row r="271" spans="1:65" s="1" customFormat="1" ht="14.45" customHeight="1" x14ac:dyDescent="0.2">
      <c r="A271" s="156"/>
      <c r="B271" s="85"/>
      <c r="C271" s="136" t="s">
        <v>328</v>
      </c>
      <c r="D271" s="136" t="s">
        <v>126</v>
      </c>
      <c r="E271" s="137" t="s">
        <v>329</v>
      </c>
      <c r="F271" s="138" t="s">
        <v>330</v>
      </c>
      <c r="G271" s="139" t="s">
        <v>309</v>
      </c>
      <c r="H271" s="140">
        <v>9</v>
      </c>
      <c r="I271" s="141">
        <v>59.200981249999998</v>
      </c>
      <c r="J271" s="142">
        <f>ROUND(I271*H271,2)</f>
        <v>532.80999999999995</v>
      </c>
      <c r="K271" s="138" t="s">
        <v>82</v>
      </c>
      <c r="L271" s="143"/>
      <c r="M271" s="144" t="s">
        <v>0</v>
      </c>
      <c r="N271" s="145" t="s">
        <v>27</v>
      </c>
      <c r="O271" s="27"/>
      <c r="P271" s="95">
        <f>O271*H271</f>
        <v>0</v>
      </c>
      <c r="Q271" s="95">
        <v>2.9E-4</v>
      </c>
      <c r="R271" s="95">
        <f>Q271*H271</f>
        <v>2.6099999999999999E-3</v>
      </c>
      <c r="S271" s="95">
        <v>0</v>
      </c>
      <c r="T271" s="96">
        <f>S271*H271</f>
        <v>0</v>
      </c>
      <c r="U271" s="156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R271" s="97" t="s">
        <v>129</v>
      </c>
      <c r="AT271" s="97" t="s">
        <v>126</v>
      </c>
      <c r="AU271" s="97" t="s">
        <v>47</v>
      </c>
      <c r="AY271" s="10" t="s">
        <v>75</v>
      </c>
      <c r="BE271" s="98">
        <f>IF(N271="základní",J271,0)</f>
        <v>532.80999999999995</v>
      </c>
      <c r="BF271" s="98">
        <f>IF(N271="snížená",J271,0)</f>
        <v>0</v>
      </c>
      <c r="BG271" s="98">
        <f>IF(N271="zákl. přenesená",J271,0)</f>
        <v>0</v>
      </c>
      <c r="BH271" s="98">
        <f>IF(N271="sníž. přenesená",J271,0)</f>
        <v>0</v>
      </c>
      <c r="BI271" s="98">
        <f>IF(N271="nulová",J271,0)</f>
        <v>0</v>
      </c>
      <c r="BJ271" s="10" t="s">
        <v>46</v>
      </c>
      <c r="BK271" s="98">
        <f>ROUND(I271*H271,2)</f>
        <v>532.80999999999995</v>
      </c>
      <c r="BL271" s="10" t="s">
        <v>83</v>
      </c>
      <c r="BM271" s="97" t="s">
        <v>331</v>
      </c>
    </row>
    <row r="272" spans="1:65" s="1" customFormat="1" x14ac:dyDescent="0.2">
      <c r="A272" s="156"/>
      <c r="B272" s="16"/>
      <c r="C272" s="156"/>
      <c r="D272" s="99" t="s">
        <v>84</v>
      </c>
      <c r="E272" s="156"/>
      <c r="F272" s="100" t="s">
        <v>330</v>
      </c>
      <c r="G272" s="156"/>
      <c r="H272" s="156"/>
      <c r="I272" s="101"/>
      <c r="J272" s="156"/>
      <c r="K272" s="156"/>
      <c r="L272" s="16"/>
      <c r="M272" s="102"/>
      <c r="N272" s="103"/>
      <c r="O272" s="27"/>
      <c r="P272" s="27"/>
      <c r="Q272" s="27"/>
      <c r="R272" s="27"/>
      <c r="S272" s="27"/>
      <c r="T272" s="28"/>
      <c r="U272" s="156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T272" s="10" t="s">
        <v>84</v>
      </c>
      <c r="AU272" s="10" t="s">
        <v>47</v>
      </c>
    </row>
    <row r="273" spans="1:65" s="1" customFormat="1" ht="14.45" customHeight="1" x14ac:dyDescent="0.2">
      <c r="A273" s="156"/>
      <c r="B273" s="85"/>
      <c r="C273" s="86" t="s">
        <v>327</v>
      </c>
      <c r="D273" s="86" t="s">
        <v>78</v>
      </c>
      <c r="E273" s="87" t="s">
        <v>332</v>
      </c>
      <c r="F273" s="88" t="s">
        <v>333</v>
      </c>
      <c r="G273" s="89" t="s">
        <v>270</v>
      </c>
      <c r="H273" s="90">
        <v>26.47</v>
      </c>
      <c r="I273" s="91">
        <v>21.984104604889872</v>
      </c>
      <c r="J273" s="92">
        <f>ROUND(I273*H273,2)</f>
        <v>581.91999999999996</v>
      </c>
      <c r="K273" s="88" t="s">
        <v>82</v>
      </c>
      <c r="L273" s="16"/>
      <c r="M273" s="93" t="s">
        <v>0</v>
      </c>
      <c r="N273" s="94" t="s">
        <v>27</v>
      </c>
      <c r="O273" s="27"/>
      <c r="P273" s="95">
        <f>O273*H273</f>
        <v>0</v>
      </c>
      <c r="Q273" s="95">
        <v>0</v>
      </c>
      <c r="R273" s="95">
        <f>Q273*H273</f>
        <v>0</v>
      </c>
      <c r="S273" s="95">
        <v>0</v>
      </c>
      <c r="T273" s="96">
        <f>S273*H273</f>
        <v>0</v>
      </c>
      <c r="U273" s="156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R273" s="97" t="s">
        <v>83</v>
      </c>
      <c r="AT273" s="97" t="s">
        <v>78</v>
      </c>
      <c r="AU273" s="97" t="s">
        <v>47</v>
      </c>
      <c r="AY273" s="10" t="s">
        <v>75</v>
      </c>
      <c r="BE273" s="98">
        <f>IF(N273="základní",J273,0)</f>
        <v>581.91999999999996</v>
      </c>
      <c r="BF273" s="98">
        <f>IF(N273="snížená",J273,0)</f>
        <v>0</v>
      </c>
      <c r="BG273" s="98">
        <f>IF(N273="zákl. přenesená",J273,0)</f>
        <v>0</v>
      </c>
      <c r="BH273" s="98">
        <f>IF(N273="sníž. přenesená",J273,0)</f>
        <v>0</v>
      </c>
      <c r="BI273" s="98">
        <f>IF(N273="nulová",J273,0)</f>
        <v>0</v>
      </c>
      <c r="BJ273" s="10" t="s">
        <v>46</v>
      </c>
      <c r="BK273" s="98">
        <f>ROUND(I273*H273,2)</f>
        <v>581.91999999999996</v>
      </c>
      <c r="BL273" s="10" t="s">
        <v>83</v>
      </c>
      <c r="BM273" s="97" t="s">
        <v>334</v>
      </c>
    </row>
    <row r="274" spans="1:65" s="1" customFormat="1" x14ac:dyDescent="0.2">
      <c r="A274" s="156"/>
      <c r="B274" s="16"/>
      <c r="C274" s="156"/>
      <c r="D274" s="99" t="s">
        <v>84</v>
      </c>
      <c r="E274" s="156"/>
      <c r="F274" s="100" t="s">
        <v>335</v>
      </c>
      <c r="G274" s="156"/>
      <c r="H274" s="156"/>
      <c r="I274" s="101"/>
      <c r="J274" s="156"/>
      <c r="K274" s="156"/>
      <c r="L274" s="16"/>
      <c r="M274" s="102"/>
      <c r="N274" s="103"/>
      <c r="O274" s="27"/>
      <c r="P274" s="27"/>
      <c r="Q274" s="27"/>
      <c r="R274" s="27"/>
      <c r="S274" s="27"/>
      <c r="T274" s="28"/>
      <c r="U274" s="156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T274" s="10" t="s">
        <v>84</v>
      </c>
      <c r="AU274" s="10" t="s">
        <v>47</v>
      </c>
    </row>
    <row r="275" spans="1:65" s="1" customFormat="1" ht="19.5" x14ac:dyDescent="0.2">
      <c r="A275" s="156"/>
      <c r="B275" s="16"/>
      <c r="C275" s="156"/>
      <c r="D275" s="99" t="s">
        <v>86</v>
      </c>
      <c r="E275" s="156"/>
      <c r="F275" s="104" t="s">
        <v>336</v>
      </c>
      <c r="G275" s="156"/>
      <c r="H275" s="156"/>
      <c r="I275" s="101"/>
      <c r="J275" s="156"/>
      <c r="K275" s="156"/>
      <c r="L275" s="16"/>
      <c r="M275" s="102"/>
      <c r="N275" s="103"/>
      <c r="O275" s="27"/>
      <c r="P275" s="27"/>
      <c r="Q275" s="27"/>
      <c r="R275" s="27"/>
      <c r="S275" s="27"/>
      <c r="T275" s="28"/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T275" s="10" t="s">
        <v>86</v>
      </c>
      <c r="AU275" s="10" t="s">
        <v>47</v>
      </c>
    </row>
    <row r="276" spans="1:65" s="1" customFormat="1" ht="24.2" customHeight="1" x14ac:dyDescent="0.2">
      <c r="A276" s="156"/>
      <c r="B276" s="85"/>
      <c r="C276" s="86" t="s">
        <v>169</v>
      </c>
      <c r="D276" s="86" t="s">
        <v>78</v>
      </c>
      <c r="E276" s="87" t="s">
        <v>337</v>
      </c>
      <c r="F276" s="88" t="s">
        <v>338</v>
      </c>
      <c r="G276" s="89" t="s">
        <v>309</v>
      </c>
      <c r="H276" s="90">
        <v>4</v>
      </c>
      <c r="I276" s="91">
        <v>3029.9958423936168</v>
      </c>
      <c r="J276" s="92">
        <f>ROUND(I276*H276,2)</f>
        <v>12119.98</v>
      </c>
      <c r="K276" s="88" t="s">
        <v>82</v>
      </c>
      <c r="L276" s="16"/>
      <c r="M276" s="93" t="s">
        <v>0</v>
      </c>
      <c r="N276" s="94" t="s">
        <v>27</v>
      </c>
      <c r="O276" s="27"/>
      <c r="P276" s="95">
        <f>O276*H276</f>
        <v>0</v>
      </c>
      <c r="Q276" s="95">
        <v>5.8029999999999998E-2</v>
      </c>
      <c r="R276" s="95">
        <f>Q276*H276</f>
        <v>0.23211999999999999</v>
      </c>
      <c r="S276" s="95">
        <v>0</v>
      </c>
      <c r="T276" s="96">
        <f>S276*H276</f>
        <v>0</v>
      </c>
      <c r="U276" s="156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R276" s="97" t="s">
        <v>83</v>
      </c>
      <c r="AT276" s="97" t="s">
        <v>78</v>
      </c>
      <c r="AU276" s="97" t="s">
        <v>47</v>
      </c>
      <c r="AY276" s="10" t="s">
        <v>75</v>
      </c>
      <c r="BE276" s="98">
        <f>IF(N276="základní",J276,0)</f>
        <v>12119.98</v>
      </c>
      <c r="BF276" s="98">
        <f>IF(N276="snížená",J276,0)</f>
        <v>0</v>
      </c>
      <c r="BG276" s="98">
        <f>IF(N276="zákl. přenesená",J276,0)</f>
        <v>0</v>
      </c>
      <c r="BH276" s="98">
        <f>IF(N276="sníž. přenesená",J276,0)</f>
        <v>0</v>
      </c>
      <c r="BI276" s="98">
        <f>IF(N276="nulová",J276,0)</f>
        <v>0</v>
      </c>
      <c r="BJ276" s="10" t="s">
        <v>46</v>
      </c>
      <c r="BK276" s="98">
        <f>ROUND(I276*H276,2)</f>
        <v>12119.98</v>
      </c>
      <c r="BL276" s="10" t="s">
        <v>83</v>
      </c>
      <c r="BM276" s="97" t="s">
        <v>339</v>
      </c>
    </row>
    <row r="277" spans="1:65" s="1" customFormat="1" ht="29.25" x14ac:dyDescent="0.2">
      <c r="A277" s="156"/>
      <c r="B277" s="16"/>
      <c r="C277" s="156"/>
      <c r="D277" s="99" t="s">
        <v>84</v>
      </c>
      <c r="E277" s="156"/>
      <c r="F277" s="100" t="s">
        <v>340</v>
      </c>
      <c r="G277" s="156"/>
      <c r="H277" s="156"/>
      <c r="I277" s="101"/>
      <c r="J277" s="156"/>
      <c r="K277" s="156"/>
      <c r="L277" s="16"/>
      <c r="M277" s="102"/>
      <c r="N277" s="103"/>
      <c r="O277" s="27"/>
      <c r="P277" s="27"/>
      <c r="Q277" s="27"/>
      <c r="R277" s="27"/>
      <c r="S277" s="27"/>
      <c r="T277" s="28"/>
      <c r="U277" s="156"/>
      <c r="V277" s="156"/>
      <c r="W277" s="156"/>
      <c r="X277" s="156"/>
      <c r="Y277" s="156"/>
      <c r="Z277" s="156"/>
      <c r="AA277" s="156"/>
      <c r="AB277" s="156"/>
      <c r="AC277" s="156"/>
      <c r="AD277" s="156"/>
      <c r="AE277" s="156"/>
      <c r="AT277" s="10" t="s">
        <v>84</v>
      </c>
      <c r="AU277" s="10" t="s">
        <v>47</v>
      </c>
    </row>
    <row r="278" spans="1:65" s="1" customFormat="1" ht="29.25" x14ac:dyDescent="0.2">
      <c r="A278" s="156"/>
      <c r="B278" s="16"/>
      <c r="C278" s="156"/>
      <c r="D278" s="99" t="s">
        <v>86</v>
      </c>
      <c r="E278" s="156"/>
      <c r="F278" s="104" t="s">
        <v>414</v>
      </c>
      <c r="G278" s="156"/>
      <c r="H278" s="156"/>
      <c r="I278" s="101"/>
      <c r="J278" s="156"/>
      <c r="K278" s="156"/>
      <c r="L278" s="16"/>
      <c r="M278" s="102"/>
      <c r="N278" s="103"/>
      <c r="O278" s="27"/>
      <c r="P278" s="27"/>
      <c r="Q278" s="27"/>
      <c r="R278" s="27"/>
      <c r="S278" s="27"/>
      <c r="T278" s="28"/>
      <c r="U278" s="156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T278" s="10" t="s">
        <v>86</v>
      </c>
      <c r="AU278" s="10" t="s">
        <v>47</v>
      </c>
    </row>
    <row r="279" spans="1:65" s="7" customFormat="1" x14ac:dyDescent="0.2">
      <c r="B279" s="112"/>
      <c r="D279" s="99" t="s">
        <v>87</v>
      </c>
      <c r="E279" s="113" t="s">
        <v>0</v>
      </c>
      <c r="F279" s="114" t="s">
        <v>292</v>
      </c>
      <c r="H279" s="115">
        <v>4</v>
      </c>
      <c r="I279" s="116"/>
      <c r="L279" s="112"/>
      <c r="M279" s="117"/>
      <c r="N279" s="118"/>
      <c r="O279" s="118"/>
      <c r="P279" s="118"/>
      <c r="Q279" s="118"/>
      <c r="R279" s="118"/>
      <c r="S279" s="118"/>
      <c r="T279" s="119"/>
      <c r="AT279" s="113" t="s">
        <v>87</v>
      </c>
      <c r="AU279" s="113" t="s">
        <v>47</v>
      </c>
      <c r="AV279" s="7" t="s">
        <v>47</v>
      </c>
      <c r="AW279" s="7" t="s">
        <v>19</v>
      </c>
      <c r="AX279" s="7" t="s">
        <v>46</v>
      </c>
      <c r="AY279" s="113" t="s">
        <v>75</v>
      </c>
    </row>
    <row r="280" spans="1:65" s="1" customFormat="1" ht="24.2" customHeight="1" x14ac:dyDescent="0.2">
      <c r="A280" s="156"/>
      <c r="B280" s="85"/>
      <c r="C280" s="86" t="s">
        <v>173</v>
      </c>
      <c r="D280" s="86" t="s">
        <v>78</v>
      </c>
      <c r="E280" s="87" t="s">
        <v>341</v>
      </c>
      <c r="F280" s="88" t="s">
        <v>342</v>
      </c>
      <c r="G280" s="89" t="s">
        <v>309</v>
      </c>
      <c r="H280" s="90">
        <v>4</v>
      </c>
      <c r="I280" s="91">
        <v>1731.8858985723084</v>
      </c>
      <c r="J280" s="92">
        <f>ROUND(I280*H280,2)</f>
        <v>6927.54</v>
      </c>
      <c r="K280" s="88" t="s">
        <v>82</v>
      </c>
      <c r="L280" s="16"/>
      <c r="M280" s="93" t="s">
        <v>0</v>
      </c>
      <c r="N280" s="94" t="s">
        <v>27</v>
      </c>
      <c r="O280" s="27"/>
      <c r="P280" s="95">
        <f>O280*H280</f>
        <v>0</v>
      </c>
      <c r="Q280" s="95">
        <v>1.136E-2</v>
      </c>
      <c r="R280" s="95">
        <f>Q280*H280</f>
        <v>4.5440000000000001E-2</v>
      </c>
      <c r="S280" s="95">
        <v>0</v>
      </c>
      <c r="T280" s="96">
        <f>S280*H280</f>
        <v>0</v>
      </c>
      <c r="U280" s="156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R280" s="97" t="s">
        <v>83</v>
      </c>
      <c r="AT280" s="97" t="s">
        <v>78</v>
      </c>
      <c r="AU280" s="97" t="s">
        <v>47</v>
      </c>
      <c r="AY280" s="10" t="s">
        <v>75</v>
      </c>
      <c r="BE280" s="98">
        <f>IF(N280="základní",J280,0)</f>
        <v>6927.54</v>
      </c>
      <c r="BF280" s="98">
        <f>IF(N280="snížená",J280,0)</f>
        <v>0</v>
      </c>
      <c r="BG280" s="98">
        <f>IF(N280="zákl. přenesená",J280,0)</f>
        <v>0</v>
      </c>
      <c r="BH280" s="98">
        <f>IF(N280="sníž. přenesená",J280,0)</f>
        <v>0</v>
      </c>
      <c r="BI280" s="98">
        <f>IF(N280="nulová",J280,0)</f>
        <v>0</v>
      </c>
      <c r="BJ280" s="10" t="s">
        <v>46</v>
      </c>
      <c r="BK280" s="98">
        <f>ROUND(I280*H280,2)</f>
        <v>6927.54</v>
      </c>
      <c r="BL280" s="10" t="s">
        <v>83</v>
      </c>
      <c r="BM280" s="97" t="s">
        <v>343</v>
      </c>
    </row>
    <row r="281" spans="1:65" s="1" customFormat="1" ht="19.5" x14ac:dyDescent="0.2">
      <c r="A281" s="156"/>
      <c r="B281" s="16"/>
      <c r="C281" s="156"/>
      <c r="D281" s="99" t="s">
        <v>84</v>
      </c>
      <c r="E281" s="156"/>
      <c r="F281" s="100" t="s">
        <v>344</v>
      </c>
      <c r="G281" s="156"/>
      <c r="H281" s="156"/>
      <c r="I281" s="101"/>
      <c r="J281" s="156"/>
      <c r="K281" s="156"/>
      <c r="L281" s="16"/>
      <c r="M281" s="102"/>
      <c r="N281" s="103"/>
      <c r="O281" s="27"/>
      <c r="P281" s="27"/>
      <c r="Q281" s="27"/>
      <c r="R281" s="27"/>
      <c r="S281" s="27"/>
      <c r="T281" s="28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T281" s="10" t="s">
        <v>84</v>
      </c>
      <c r="AU281" s="10" t="s">
        <v>47</v>
      </c>
    </row>
    <row r="282" spans="1:65" s="1" customFormat="1" ht="24.2" customHeight="1" x14ac:dyDescent="0.2">
      <c r="A282" s="156"/>
      <c r="B282" s="85"/>
      <c r="C282" s="86" t="s">
        <v>345</v>
      </c>
      <c r="D282" s="86" t="s">
        <v>78</v>
      </c>
      <c r="E282" s="87" t="s">
        <v>346</v>
      </c>
      <c r="F282" s="88" t="s">
        <v>347</v>
      </c>
      <c r="G282" s="89" t="s">
        <v>309</v>
      </c>
      <c r="H282" s="90">
        <v>4</v>
      </c>
      <c r="I282" s="91">
        <v>769.70783374577138</v>
      </c>
      <c r="J282" s="92">
        <f>ROUND(I282*H282,2)</f>
        <v>3078.83</v>
      </c>
      <c r="K282" s="88" t="s">
        <v>82</v>
      </c>
      <c r="L282" s="16"/>
      <c r="M282" s="93" t="s">
        <v>0</v>
      </c>
      <c r="N282" s="94" t="s">
        <v>27</v>
      </c>
      <c r="O282" s="27"/>
      <c r="P282" s="95">
        <f>O282*H282</f>
        <v>0</v>
      </c>
      <c r="Q282" s="95">
        <v>6.2199999999999998E-3</v>
      </c>
      <c r="R282" s="95">
        <f>Q282*H282</f>
        <v>2.4879999999999999E-2</v>
      </c>
      <c r="S282" s="95">
        <v>0</v>
      </c>
      <c r="T282" s="96">
        <f>S282*H282</f>
        <v>0</v>
      </c>
      <c r="U282" s="156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R282" s="97" t="s">
        <v>83</v>
      </c>
      <c r="AT282" s="97" t="s">
        <v>78</v>
      </c>
      <c r="AU282" s="97" t="s">
        <v>47</v>
      </c>
      <c r="AY282" s="10" t="s">
        <v>75</v>
      </c>
      <c r="BE282" s="98">
        <f>IF(N282="základní",J282,0)</f>
        <v>3078.83</v>
      </c>
      <c r="BF282" s="98">
        <f>IF(N282="snížená",J282,0)</f>
        <v>0</v>
      </c>
      <c r="BG282" s="98">
        <f>IF(N282="zákl. přenesená",J282,0)</f>
        <v>0</v>
      </c>
      <c r="BH282" s="98">
        <f>IF(N282="sníž. přenesená",J282,0)</f>
        <v>0</v>
      </c>
      <c r="BI282" s="98">
        <f>IF(N282="nulová",J282,0)</f>
        <v>0</v>
      </c>
      <c r="BJ282" s="10" t="s">
        <v>46</v>
      </c>
      <c r="BK282" s="98">
        <f>ROUND(I282*H282,2)</f>
        <v>3078.83</v>
      </c>
      <c r="BL282" s="10" t="s">
        <v>83</v>
      </c>
      <c r="BM282" s="97" t="s">
        <v>348</v>
      </c>
    </row>
    <row r="283" spans="1:65" s="1" customFormat="1" ht="29.25" x14ac:dyDescent="0.2">
      <c r="A283" s="156"/>
      <c r="B283" s="16"/>
      <c r="C283" s="156"/>
      <c r="D283" s="99" t="s">
        <v>84</v>
      </c>
      <c r="E283" s="156"/>
      <c r="F283" s="100" t="s">
        <v>349</v>
      </c>
      <c r="G283" s="156"/>
      <c r="H283" s="156"/>
      <c r="I283" s="101"/>
      <c r="J283" s="156"/>
      <c r="K283" s="156"/>
      <c r="L283" s="16"/>
      <c r="M283" s="102"/>
      <c r="N283" s="103"/>
      <c r="O283" s="27"/>
      <c r="P283" s="27"/>
      <c r="Q283" s="27"/>
      <c r="R283" s="27"/>
      <c r="S283" s="27"/>
      <c r="T283" s="28"/>
      <c r="U283" s="156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T283" s="10" t="s">
        <v>84</v>
      </c>
      <c r="AU283" s="10" t="s">
        <v>47</v>
      </c>
    </row>
    <row r="284" spans="1:65" s="1" customFormat="1" ht="24.2" customHeight="1" x14ac:dyDescent="0.2">
      <c r="A284" s="156"/>
      <c r="B284" s="85"/>
      <c r="C284" s="86" t="s">
        <v>177</v>
      </c>
      <c r="D284" s="86" t="s">
        <v>78</v>
      </c>
      <c r="E284" s="87" t="s">
        <v>350</v>
      </c>
      <c r="F284" s="88" t="s">
        <v>351</v>
      </c>
      <c r="G284" s="89" t="s">
        <v>309</v>
      </c>
      <c r="H284" s="90">
        <v>4</v>
      </c>
      <c r="I284" s="91">
        <v>809.35201412271431</v>
      </c>
      <c r="J284" s="92">
        <f>ROUND(I284*H284,2)</f>
        <v>3237.41</v>
      </c>
      <c r="K284" s="88" t="s">
        <v>82</v>
      </c>
      <c r="L284" s="16"/>
      <c r="M284" s="93" t="s">
        <v>0</v>
      </c>
      <c r="N284" s="94" t="s">
        <v>27</v>
      </c>
      <c r="O284" s="27"/>
      <c r="P284" s="95">
        <f>O284*H284</f>
        <v>0</v>
      </c>
      <c r="Q284" s="95">
        <v>0</v>
      </c>
      <c r="R284" s="95">
        <f>Q284*H284</f>
        <v>0</v>
      </c>
      <c r="S284" s="95">
        <v>0</v>
      </c>
      <c r="T284" s="96">
        <f>S284*H284</f>
        <v>0</v>
      </c>
      <c r="U284" s="156"/>
      <c r="V284" s="156"/>
      <c r="W284" s="156"/>
      <c r="X284" s="156"/>
      <c r="Y284" s="156"/>
      <c r="Z284" s="156"/>
      <c r="AA284" s="156"/>
      <c r="AB284" s="156"/>
      <c r="AC284" s="156"/>
      <c r="AD284" s="156"/>
      <c r="AE284" s="156"/>
      <c r="AR284" s="97" t="s">
        <v>83</v>
      </c>
      <c r="AT284" s="97" t="s">
        <v>78</v>
      </c>
      <c r="AU284" s="97" t="s">
        <v>47</v>
      </c>
      <c r="AY284" s="10" t="s">
        <v>75</v>
      </c>
      <c r="BE284" s="98">
        <f>IF(N284="základní",J284,0)</f>
        <v>3237.41</v>
      </c>
      <c r="BF284" s="98">
        <f>IF(N284="snížená",J284,0)</f>
        <v>0</v>
      </c>
      <c r="BG284" s="98">
        <f>IF(N284="zákl. přenesená",J284,0)</f>
        <v>0</v>
      </c>
      <c r="BH284" s="98">
        <f>IF(N284="sníž. přenesená",J284,0)</f>
        <v>0</v>
      </c>
      <c r="BI284" s="98">
        <f>IF(N284="nulová",J284,0)</f>
        <v>0</v>
      </c>
      <c r="BJ284" s="10" t="s">
        <v>46</v>
      </c>
      <c r="BK284" s="98">
        <f>ROUND(I284*H284,2)</f>
        <v>3237.41</v>
      </c>
      <c r="BL284" s="10" t="s">
        <v>83</v>
      </c>
      <c r="BM284" s="97" t="s">
        <v>352</v>
      </c>
    </row>
    <row r="285" spans="1:65" s="1" customFormat="1" ht="29.25" x14ac:dyDescent="0.2">
      <c r="A285" s="156"/>
      <c r="B285" s="16"/>
      <c r="C285" s="156"/>
      <c r="D285" s="99" t="s">
        <v>84</v>
      </c>
      <c r="E285" s="156"/>
      <c r="F285" s="100" t="s">
        <v>353</v>
      </c>
      <c r="G285" s="156"/>
      <c r="H285" s="156"/>
      <c r="I285" s="101"/>
      <c r="J285" s="156"/>
      <c r="K285" s="156"/>
      <c r="L285" s="16"/>
      <c r="M285" s="102"/>
      <c r="N285" s="103"/>
      <c r="O285" s="27"/>
      <c r="P285" s="27"/>
      <c r="Q285" s="27"/>
      <c r="R285" s="27"/>
      <c r="S285" s="27"/>
      <c r="T285" s="28"/>
      <c r="U285" s="156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T285" s="10" t="s">
        <v>84</v>
      </c>
      <c r="AU285" s="10" t="s">
        <v>47</v>
      </c>
    </row>
    <row r="286" spans="1:65" s="1" customFormat="1" ht="24.2" customHeight="1" x14ac:dyDescent="0.2">
      <c r="A286" s="156"/>
      <c r="B286" s="85"/>
      <c r="C286" s="86" t="s">
        <v>354</v>
      </c>
      <c r="D286" s="86" t="s">
        <v>78</v>
      </c>
      <c r="E286" s="87" t="s">
        <v>355</v>
      </c>
      <c r="F286" s="88" t="s">
        <v>356</v>
      </c>
      <c r="G286" s="89" t="s">
        <v>309</v>
      </c>
      <c r="H286" s="90">
        <v>4</v>
      </c>
      <c r="I286" s="91">
        <v>3446.6463092111458</v>
      </c>
      <c r="J286" s="92">
        <f>ROUND(I286*H286,2)</f>
        <v>13786.59</v>
      </c>
      <c r="K286" s="88" t="s">
        <v>82</v>
      </c>
      <c r="L286" s="16"/>
      <c r="M286" s="93" t="s">
        <v>0</v>
      </c>
      <c r="N286" s="94" t="s">
        <v>27</v>
      </c>
      <c r="O286" s="27"/>
      <c r="P286" s="95">
        <f>O286*H286</f>
        <v>0</v>
      </c>
      <c r="Q286" s="95">
        <v>5.4539999999999998E-2</v>
      </c>
      <c r="R286" s="95">
        <f>Q286*H286</f>
        <v>0.21815999999999999</v>
      </c>
      <c r="S286" s="95">
        <v>0</v>
      </c>
      <c r="T286" s="96">
        <f>S286*H286</f>
        <v>0</v>
      </c>
      <c r="U286" s="156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R286" s="97" t="s">
        <v>83</v>
      </c>
      <c r="AT286" s="97" t="s">
        <v>78</v>
      </c>
      <c r="AU286" s="97" t="s">
        <v>47</v>
      </c>
      <c r="AY286" s="10" t="s">
        <v>75</v>
      </c>
      <c r="BE286" s="98">
        <f>IF(N286="základní",J286,0)</f>
        <v>13786.59</v>
      </c>
      <c r="BF286" s="98">
        <f>IF(N286="snížená",J286,0)</f>
        <v>0</v>
      </c>
      <c r="BG286" s="98">
        <f>IF(N286="zákl. přenesená",J286,0)</f>
        <v>0</v>
      </c>
      <c r="BH286" s="98">
        <f>IF(N286="sníž. přenesená",J286,0)</f>
        <v>0</v>
      </c>
      <c r="BI286" s="98">
        <f>IF(N286="nulová",J286,0)</f>
        <v>0</v>
      </c>
      <c r="BJ286" s="10" t="s">
        <v>46</v>
      </c>
      <c r="BK286" s="98">
        <f>ROUND(I286*H286,2)</f>
        <v>13786.59</v>
      </c>
      <c r="BL286" s="10" t="s">
        <v>83</v>
      </c>
      <c r="BM286" s="97" t="s">
        <v>357</v>
      </c>
    </row>
    <row r="287" spans="1:65" s="1" customFormat="1" ht="29.25" x14ac:dyDescent="0.2">
      <c r="A287" s="156"/>
      <c r="B287" s="16"/>
      <c r="C287" s="156"/>
      <c r="D287" s="99" t="s">
        <v>84</v>
      </c>
      <c r="E287" s="156"/>
      <c r="F287" s="100" t="s">
        <v>358</v>
      </c>
      <c r="G287" s="156"/>
      <c r="H287" s="156"/>
      <c r="I287" s="101"/>
      <c r="J287" s="156"/>
      <c r="K287" s="156"/>
      <c r="L287" s="16"/>
      <c r="M287" s="102"/>
      <c r="N287" s="103"/>
      <c r="O287" s="27"/>
      <c r="P287" s="27"/>
      <c r="Q287" s="27"/>
      <c r="R287" s="27"/>
      <c r="S287" s="27"/>
      <c r="T287" s="28"/>
      <c r="U287" s="156"/>
      <c r="V287" s="156"/>
      <c r="W287" s="156"/>
      <c r="X287" s="156"/>
      <c r="Y287" s="156"/>
      <c r="Z287" s="156"/>
      <c r="AA287" s="156"/>
      <c r="AB287" s="156"/>
      <c r="AC287" s="156"/>
      <c r="AD287" s="156"/>
      <c r="AE287" s="156"/>
      <c r="AT287" s="10" t="s">
        <v>84</v>
      </c>
      <c r="AU287" s="10" t="s">
        <v>47</v>
      </c>
    </row>
    <row r="288" spans="1:65" s="1" customFormat="1" ht="24.2" customHeight="1" x14ac:dyDescent="0.2">
      <c r="A288" s="156"/>
      <c r="B288" s="85"/>
      <c r="C288" s="86" t="s">
        <v>142</v>
      </c>
      <c r="D288" s="86" t="s">
        <v>78</v>
      </c>
      <c r="E288" s="87" t="s">
        <v>359</v>
      </c>
      <c r="F288" s="88" t="s">
        <v>360</v>
      </c>
      <c r="G288" s="89" t="s">
        <v>309</v>
      </c>
      <c r="H288" s="90">
        <v>5</v>
      </c>
      <c r="I288" s="91">
        <v>4973.6339388584802</v>
      </c>
      <c r="J288" s="92">
        <f>ROUND(I288*H288,2)</f>
        <v>24868.17</v>
      </c>
      <c r="K288" s="88" t="s">
        <v>82</v>
      </c>
      <c r="L288" s="16"/>
      <c r="M288" s="93" t="s">
        <v>0</v>
      </c>
      <c r="N288" s="94" t="s">
        <v>27</v>
      </c>
      <c r="O288" s="27"/>
      <c r="P288" s="95">
        <f>O288*H288</f>
        <v>0</v>
      </c>
      <c r="Q288" s="95">
        <v>0.1056</v>
      </c>
      <c r="R288" s="95">
        <f>Q288*H288</f>
        <v>0.52800000000000002</v>
      </c>
      <c r="S288" s="95">
        <v>0</v>
      </c>
      <c r="T288" s="96">
        <f>S288*H288</f>
        <v>0</v>
      </c>
      <c r="U288" s="156"/>
      <c r="V288" s="156"/>
      <c r="W288" s="156"/>
      <c r="X288" s="156"/>
      <c r="Y288" s="156"/>
      <c r="Z288" s="156"/>
      <c r="AA288" s="156"/>
      <c r="AB288" s="156"/>
      <c r="AC288" s="156"/>
      <c r="AD288" s="156"/>
      <c r="AE288" s="156"/>
      <c r="AR288" s="97" t="s">
        <v>83</v>
      </c>
      <c r="AT288" s="97" t="s">
        <v>78</v>
      </c>
      <c r="AU288" s="97" t="s">
        <v>47</v>
      </c>
      <c r="AY288" s="10" t="s">
        <v>75</v>
      </c>
      <c r="BE288" s="98">
        <f>IF(N288="základní",J288,0)</f>
        <v>24868.17</v>
      </c>
      <c r="BF288" s="98">
        <f>IF(N288="snížená",J288,0)</f>
        <v>0</v>
      </c>
      <c r="BG288" s="98">
        <f>IF(N288="zákl. přenesená",J288,0)</f>
        <v>0</v>
      </c>
      <c r="BH288" s="98">
        <f>IF(N288="sníž. přenesená",J288,0)</f>
        <v>0</v>
      </c>
      <c r="BI288" s="98">
        <f>IF(N288="nulová",J288,0)</f>
        <v>0</v>
      </c>
      <c r="BJ288" s="10" t="s">
        <v>46</v>
      </c>
      <c r="BK288" s="98">
        <f>ROUND(I288*H288,2)</f>
        <v>24868.17</v>
      </c>
      <c r="BL288" s="10" t="s">
        <v>83</v>
      </c>
      <c r="BM288" s="97" t="s">
        <v>361</v>
      </c>
    </row>
    <row r="289" spans="1:65" s="1" customFormat="1" ht="29.25" x14ac:dyDescent="0.2">
      <c r="A289" s="156"/>
      <c r="B289" s="16"/>
      <c r="C289" s="156"/>
      <c r="D289" s="99" t="s">
        <v>84</v>
      </c>
      <c r="E289" s="156"/>
      <c r="F289" s="100" t="s">
        <v>362</v>
      </c>
      <c r="G289" s="156"/>
      <c r="H289" s="156"/>
      <c r="I289" s="101"/>
      <c r="J289" s="156"/>
      <c r="K289" s="156"/>
      <c r="L289" s="16"/>
      <c r="M289" s="102"/>
      <c r="N289" s="103"/>
      <c r="O289" s="27"/>
      <c r="P289" s="27"/>
      <c r="Q289" s="27"/>
      <c r="R289" s="27"/>
      <c r="S289" s="27"/>
      <c r="T289" s="28"/>
      <c r="U289" s="156"/>
      <c r="V289" s="156"/>
      <c r="W289" s="156"/>
      <c r="X289" s="156"/>
      <c r="Y289" s="156"/>
      <c r="Z289" s="156"/>
      <c r="AA289" s="156"/>
      <c r="AB289" s="156"/>
      <c r="AC289" s="156"/>
      <c r="AD289" s="156"/>
      <c r="AE289" s="156"/>
      <c r="AT289" s="10" t="s">
        <v>84</v>
      </c>
      <c r="AU289" s="10" t="s">
        <v>47</v>
      </c>
    </row>
    <row r="290" spans="1:65" s="1" customFormat="1" ht="29.25" x14ac:dyDescent="0.2">
      <c r="A290" s="156"/>
      <c r="B290" s="16"/>
      <c r="C290" s="156"/>
      <c r="D290" s="99" t="s">
        <v>86</v>
      </c>
      <c r="E290" s="156"/>
      <c r="F290" s="104" t="s">
        <v>414</v>
      </c>
      <c r="G290" s="156"/>
      <c r="H290" s="156"/>
      <c r="I290" s="101"/>
      <c r="J290" s="156"/>
      <c r="K290" s="156"/>
      <c r="L290" s="16"/>
      <c r="M290" s="102"/>
      <c r="N290" s="103"/>
      <c r="O290" s="27"/>
      <c r="P290" s="27"/>
      <c r="Q290" s="27"/>
      <c r="R290" s="27"/>
      <c r="S290" s="27"/>
      <c r="T290" s="28"/>
      <c r="U290" s="156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T290" s="10" t="s">
        <v>86</v>
      </c>
      <c r="AU290" s="10" t="s">
        <v>47</v>
      </c>
    </row>
    <row r="291" spans="1:65" s="7" customFormat="1" x14ac:dyDescent="0.2">
      <c r="B291" s="112"/>
      <c r="D291" s="99" t="s">
        <v>87</v>
      </c>
      <c r="E291" s="113" t="s">
        <v>0</v>
      </c>
      <c r="F291" s="114" t="s">
        <v>116</v>
      </c>
      <c r="H291" s="115">
        <v>5</v>
      </c>
      <c r="I291" s="116"/>
      <c r="L291" s="112"/>
      <c r="M291" s="117"/>
      <c r="N291" s="118"/>
      <c r="O291" s="118"/>
      <c r="P291" s="118"/>
      <c r="Q291" s="118"/>
      <c r="R291" s="118"/>
      <c r="S291" s="118"/>
      <c r="T291" s="119"/>
      <c r="AT291" s="113" t="s">
        <v>87</v>
      </c>
      <c r="AU291" s="113" t="s">
        <v>47</v>
      </c>
      <c r="AV291" s="7" t="s">
        <v>47</v>
      </c>
      <c r="AW291" s="7" t="s">
        <v>19</v>
      </c>
      <c r="AX291" s="7" t="s">
        <v>46</v>
      </c>
      <c r="AY291" s="113" t="s">
        <v>75</v>
      </c>
    </row>
    <row r="292" spans="1:65" s="1" customFormat="1" ht="24.2" customHeight="1" x14ac:dyDescent="0.2">
      <c r="A292" s="156"/>
      <c r="B292" s="85"/>
      <c r="C292" s="86" t="s">
        <v>363</v>
      </c>
      <c r="D292" s="86" t="s">
        <v>78</v>
      </c>
      <c r="E292" s="87" t="s">
        <v>364</v>
      </c>
      <c r="F292" s="88" t="s">
        <v>365</v>
      </c>
      <c r="G292" s="89" t="s">
        <v>309</v>
      </c>
      <c r="H292" s="90">
        <v>5</v>
      </c>
      <c r="I292" s="91">
        <v>3593.8097854433977</v>
      </c>
      <c r="J292" s="92">
        <f>ROUND(I292*H292,2)</f>
        <v>17969.05</v>
      </c>
      <c r="K292" s="88" t="s">
        <v>82</v>
      </c>
      <c r="L292" s="16"/>
      <c r="M292" s="93" t="s">
        <v>0</v>
      </c>
      <c r="N292" s="94" t="s">
        <v>27</v>
      </c>
      <c r="O292" s="27"/>
      <c r="P292" s="95">
        <f>O292*H292</f>
        <v>0</v>
      </c>
      <c r="Q292" s="95">
        <v>2.4240000000000001E-2</v>
      </c>
      <c r="R292" s="95">
        <f>Q292*H292</f>
        <v>0.1212</v>
      </c>
      <c r="S292" s="95">
        <v>0</v>
      </c>
      <c r="T292" s="96">
        <f>S292*H292</f>
        <v>0</v>
      </c>
      <c r="U292" s="156"/>
      <c r="V292" s="156"/>
      <c r="W292" s="156"/>
      <c r="X292" s="156"/>
      <c r="Y292" s="156"/>
      <c r="Z292" s="156"/>
      <c r="AA292" s="156"/>
      <c r="AB292" s="156"/>
      <c r="AC292" s="156"/>
      <c r="AD292" s="156"/>
      <c r="AE292" s="156"/>
      <c r="AR292" s="97" t="s">
        <v>83</v>
      </c>
      <c r="AT292" s="97" t="s">
        <v>78</v>
      </c>
      <c r="AU292" s="97" t="s">
        <v>47</v>
      </c>
      <c r="AY292" s="10" t="s">
        <v>75</v>
      </c>
      <c r="BE292" s="98">
        <f>IF(N292="základní",J292,0)</f>
        <v>17969.05</v>
      </c>
      <c r="BF292" s="98">
        <f>IF(N292="snížená",J292,0)</f>
        <v>0</v>
      </c>
      <c r="BG292" s="98">
        <f>IF(N292="zákl. přenesená",J292,0)</f>
        <v>0</v>
      </c>
      <c r="BH292" s="98">
        <f>IF(N292="sníž. přenesená",J292,0)</f>
        <v>0</v>
      </c>
      <c r="BI292" s="98">
        <f>IF(N292="nulová",J292,0)</f>
        <v>0</v>
      </c>
      <c r="BJ292" s="10" t="s">
        <v>46</v>
      </c>
      <c r="BK292" s="98">
        <f>ROUND(I292*H292,2)</f>
        <v>17969.05</v>
      </c>
      <c r="BL292" s="10" t="s">
        <v>83</v>
      </c>
      <c r="BM292" s="97" t="s">
        <v>366</v>
      </c>
    </row>
    <row r="293" spans="1:65" s="1" customFormat="1" ht="19.5" x14ac:dyDescent="0.2">
      <c r="A293" s="156"/>
      <c r="B293" s="16"/>
      <c r="C293" s="156"/>
      <c r="D293" s="99" t="s">
        <v>84</v>
      </c>
      <c r="E293" s="156"/>
      <c r="F293" s="100" t="s">
        <v>367</v>
      </c>
      <c r="G293" s="156"/>
      <c r="H293" s="156"/>
      <c r="I293" s="101"/>
      <c r="J293" s="156"/>
      <c r="K293" s="156"/>
      <c r="L293" s="16"/>
      <c r="M293" s="102"/>
      <c r="N293" s="103"/>
      <c r="O293" s="27"/>
      <c r="P293" s="27"/>
      <c r="Q293" s="27"/>
      <c r="R293" s="27"/>
      <c r="S293" s="27"/>
      <c r="T293" s="28"/>
      <c r="U293" s="156"/>
      <c r="V293" s="156"/>
      <c r="W293" s="156"/>
      <c r="X293" s="156"/>
      <c r="Y293" s="156"/>
      <c r="Z293" s="156"/>
      <c r="AA293" s="156"/>
      <c r="AB293" s="156"/>
      <c r="AC293" s="156"/>
      <c r="AD293" s="156"/>
      <c r="AE293" s="156"/>
      <c r="AT293" s="10" t="s">
        <v>84</v>
      </c>
      <c r="AU293" s="10" t="s">
        <v>47</v>
      </c>
    </row>
    <row r="294" spans="1:65" s="1" customFormat="1" ht="24.2" customHeight="1" x14ac:dyDescent="0.2">
      <c r="A294" s="156"/>
      <c r="B294" s="85"/>
      <c r="C294" s="86" t="s">
        <v>368</v>
      </c>
      <c r="D294" s="86" t="s">
        <v>78</v>
      </c>
      <c r="E294" s="87" t="s">
        <v>369</v>
      </c>
      <c r="F294" s="88" t="s">
        <v>370</v>
      </c>
      <c r="G294" s="89" t="s">
        <v>309</v>
      </c>
      <c r="H294" s="90">
        <v>5</v>
      </c>
      <c r="I294" s="91">
        <v>1078.0568828114554</v>
      </c>
      <c r="J294" s="92">
        <f>ROUND(I294*H294,2)</f>
        <v>5390.28</v>
      </c>
      <c r="K294" s="88" t="s">
        <v>82</v>
      </c>
      <c r="L294" s="16"/>
      <c r="M294" s="93" t="s">
        <v>0</v>
      </c>
      <c r="N294" s="94" t="s">
        <v>27</v>
      </c>
      <c r="O294" s="27"/>
      <c r="P294" s="95">
        <f>O294*H294</f>
        <v>0</v>
      </c>
      <c r="Q294" s="95">
        <v>0</v>
      </c>
      <c r="R294" s="95">
        <f>Q294*H294</f>
        <v>0</v>
      </c>
      <c r="S294" s="95">
        <v>0</v>
      </c>
      <c r="T294" s="96">
        <f>S294*H294</f>
        <v>0</v>
      </c>
      <c r="U294" s="156"/>
      <c r="V294" s="156"/>
      <c r="W294" s="156"/>
      <c r="X294" s="156"/>
      <c r="Y294" s="156"/>
      <c r="Z294" s="156"/>
      <c r="AA294" s="156"/>
      <c r="AB294" s="156"/>
      <c r="AC294" s="156"/>
      <c r="AD294" s="156"/>
      <c r="AE294" s="156"/>
      <c r="AR294" s="97" t="s">
        <v>83</v>
      </c>
      <c r="AT294" s="97" t="s">
        <v>78</v>
      </c>
      <c r="AU294" s="97" t="s">
        <v>47</v>
      </c>
      <c r="AY294" s="10" t="s">
        <v>75</v>
      </c>
      <c r="BE294" s="98">
        <f>IF(N294="základní",J294,0)</f>
        <v>5390.28</v>
      </c>
      <c r="BF294" s="98">
        <f>IF(N294="snížená",J294,0)</f>
        <v>0</v>
      </c>
      <c r="BG294" s="98">
        <f>IF(N294="zákl. přenesená",J294,0)</f>
        <v>0</v>
      </c>
      <c r="BH294" s="98">
        <f>IF(N294="sníž. přenesená",J294,0)</f>
        <v>0</v>
      </c>
      <c r="BI294" s="98">
        <f>IF(N294="nulová",J294,0)</f>
        <v>0</v>
      </c>
      <c r="BJ294" s="10" t="s">
        <v>46</v>
      </c>
      <c r="BK294" s="98">
        <f>ROUND(I294*H294,2)</f>
        <v>5390.28</v>
      </c>
      <c r="BL294" s="10" t="s">
        <v>83</v>
      </c>
      <c r="BM294" s="97" t="s">
        <v>371</v>
      </c>
    </row>
    <row r="295" spans="1:65" s="1" customFormat="1" ht="19.5" x14ac:dyDescent="0.2">
      <c r="A295" s="156"/>
      <c r="B295" s="16"/>
      <c r="C295" s="156"/>
      <c r="D295" s="99" t="s">
        <v>84</v>
      </c>
      <c r="E295" s="156"/>
      <c r="F295" s="100" t="s">
        <v>372</v>
      </c>
      <c r="G295" s="156"/>
      <c r="H295" s="156"/>
      <c r="I295" s="101"/>
      <c r="J295" s="156"/>
      <c r="K295" s="156"/>
      <c r="L295" s="16"/>
      <c r="M295" s="102"/>
      <c r="N295" s="103"/>
      <c r="O295" s="27"/>
      <c r="P295" s="27"/>
      <c r="Q295" s="27"/>
      <c r="R295" s="27"/>
      <c r="S295" s="27"/>
      <c r="T295" s="28"/>
      <c r="U295" s="156"/>
      <c r="V295" s="156"/>
      <c r="W295" s="156"/>
      <c r="X295" s="156"/>
      <c r="Y295" s="156"/>
      <c r="Z295" s="156"/>
      <c r="AA295" s="156"/>
      <c r="AB295" s="156"/>
      <c r="AC295" s="156"/>
      <c r="AD295" s="156"/>
      <c r="AE295" s="156"/>
      <c r="AT295" s="10" t="s">
        <v>84</v>
      </c>
      <c r="AU295" s="10" t="s">
        <v>47</v>
      </c>
    </row>
    <row r="296" spans="1:65" s="1" customFormat="1" ht="24.2" customHeight="1" x14ac:dyDescent="0.2">
      <c r="A296" s="156"/>
      <c r="B296" s="85"/>
      <c r="C296" s="86" t="s">
        <v>373</v>
      </c>
      <c r="D296" s="86" t="s">
        <v>78</v>
      </c>
      <c r="E296" s="87" t="s">
        <v>374</v>
      </c>
      <c r="F296" s="88" t="s">
        <v>375</v>
      </c>
      <c r="G296" s="89" t="s">
        <v>309</v>
      </c>
      <c r="H296" s="90">
        <v>5</v>
      </c>
      <c r="I296" s="91">
        <v>8864.0454366400263</v>
      </c>
      <c r="J296" s="92">
        <f>ROUND(I296*H296,2)</f>
        <v>44320.23</v>
      </c>
      <c r="K296" s="88" t="s">
        <v>82</v>
      </c>
      <c r="L296" s="16"/>
      <c r="M296" s="93" t="s">
        <v>0</v>
      </c>
      <c r="N296" s="94" t="s">
        <v>27</v>
      </c>
      <c r="O296" s="27"/>
      <c r="P296" s="95">
        <f>O296*H296</f>
        <v>0</v>
      </c>
      <c r="Q296" s="95">
        <v>0.21007999999999999</v>
      </c>
      <c r="R296" s="95">
        <f>Q296*H296</f>
        <v>1.0504</v>
      </c>
      <c r="S296" s="95">
        <v>0</v>
      </c>
      <c r="T296" s="96">
        <f>S296*H296</f>
        <v>0</v>
      </c>
      <c r="U296" s="156"/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/>
      <c r="AR296" s="97" t="s">
        <v>83</v>
      </c>
      <c r="AT296" s="97" t="s">
        <v>78</v>
      </c>
      <c r="AU296" s="97" t="s">
        <v>47</v>
      </c>
      <c r="AY296" s="10" t="s">
        <v>75</v>
      </c>
      <c r="BE296" s="98">
        <f>IF(N296="základní",J296,0)</f>
        <v>44320.23</v>
      </c>
      <c r="BF296" s="98">
        <f>IF(N296="snížená",J296,0)</f>
        <v>0</v>
      </c>
      <c r="BG296" s="98">
        <f>IF(N296="zákl. přenesená",J296,0)</f>
        <v>0</v>
      </c>
      <c r="BH296" s="98">
        <f>IF(N296="sníž. přenesená",J296,0)</f>
        <v>0</v>
      </c>
      <c r="BI296" s="98">
        <f>IF(N296="nulová",J296,0)</f>
        <v>0</v>
      </c>
      <c r="BJ296" s="10" t="s">
        <v>46</v>
      </c>
      <c r="BK296" s="98">
        <f>ROUND(I296*H296,2)</f>
        <v>44320.23</v>
      </c>
      <c r="BL296" s="10" t="s">
        <v>83</v>
      </c>
      <c r="BM296" s="97" t="s">
        <v>376</v>
      </c>
    </row>
    <row r="297" spans="1:65" s="1" customFormat="1" ht="29.25" x14ac:dyDescent="0.2">
      <c r="A297" s="156"/>
      <c r="B297" s="16"/>
      <c r="C297" s="156"/>
      <c r="D297" s="99" t="s">
        <v>84</v>
      </c>
      <c r="E297" s="156"/>
      <c r="F297" s="100" t="s">
        <v>377</v>
      </c>
      <c r="G297" s="156"/>
      <c r="H297" s="156"/>
      <c r="I297" s="101"/>
      <c r="J297" s="156"/>
      <c r="K297" s="156"/>
      <c r="L297" s="16"/>
      <c r="M297" s="102"/>
      <c r="N297" s="103"/>
      <c r="O297" s="27"/>
      <c r="P297" s="27"/>
      <c r="Q297" s="27"/>
      <c r="R297" s="27"/>
      <c r="S297" s="27"/>
      <c r="T297" s="28"/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T297" s="10" t="s">
        <v>84</v>
      </c>
      <c r="AU297" s="10" t="s">
        <v>47</v>
      </c>
    </row>
    <row r="298" spans="1:65" s="5" customFormat="1" ht="22.9" customHeight="1" x14ac:dyDescent="0.2">
      <c r="B298" s="72"/>
      <c r="D298" s="73" t="s">
        <v>44</v>
      </c>
      <c r="E298" s="83" t="s">
        <v>233</v>
      </c>
      <c r="F298" s="83" t="s">
        <v>378</v>
      </c>
      <c r="I298" s="75"/>
      <c r="J298" s="84">
        <f>BK298</f>
        <v>10608.82</v>
      </c>
      <c r="L298" s="72"/>
      <c r="M298" s="77"/>
      <c r="N298" s="78"/>
      <c r="O298" s="78"/>
      <c r="P298" s="79">
        <f>SUM(P299:P300)</f>
        <v>0</v>
      </c>
      <c r="Q298" s="78"/>
      <c r="R298" s="79">
        <f>SUM(R299:R300)</f>
        <v>0</v>
      </c>
      <c r="S298" s="78"/>
      <c r="T298" s="80">
        <f>SUM(T299:T300)</f>
        <v>0</v>
      </c>
      <c r="AR298" s="73" t="s">
        <v>46</v>
      </c>
      <c r="AT298" s="81" t="s">
        <v>44</v>
      </c>
      <c r="AU298" s="81" t="s">
        <v>46</v>
      </c>
      <c r="AY298" s="73" t="s">
        <v>75</v>
      </c>
      <c r="BK298" s="82">
        <f>SUM(BK299:BK300)</f>
        <v>10608.82</v>
      </c>
    </row>
    <row r="299" spans="1:65" s="1" customFormat="1" ht="37.9" customHeight="1" x14ac:dyDescent="0.2">
      <c r="A299" s="156"/>
      <c r="B299" s="85"/>
      <c r="C299" s="86" t="s">
        <v>385</v>
      </c>
      <c r="D299" s="86" t="s">
        <v>78</v>
      </c>
      <c r="E299" s="87" t="s">
        <v>386</v>
      </c>
      <c r="F299" s="88" t="s">
        <v>387</v>
      </c>
      <c r="G299" s="89" t="s">
        <v>382</v>
      </c>
      <c r="H299" s="90">
        <v>4</v>
      </c>
      <c r="I299" s="91">
        <v>2652.2039599999998</v>
      </c>
      <c r="J299" s="92">
        <f>ROUND(I299*H299,2)</f>
        <v>10608.82</v>
      </c>
      <c r="K299" s="88" t="s">
        <v>0</v>
      </c>
      <c r="L299" s="16"/>
      <c r="M299" s="93" t="s">
        <v>0</v>
      </c>
      <c r="N299" s="94" t="s">
        <v>27</v>
      </c>
      <c r="O299" s="27"/>
      <c r="P299" s="95">
        <f>O299*H299</f>
        <v>0</v>
      </c>
      <c r="Q299" s="95">
        <v>0</v>
      </c>
      <c r="R299" s="95">
        <f>Q299*H299</f>
        <v>0</v>
      </c>
      <c r="S299" s="95">
        <v>0</v>
      </c>
      <c r="T299" s="96">
        <f>S299*H299</f>
        <v>0</v>
      </c>
      <c r="U299" s="156"/>
      <c r="V299" s="156"/>
      <c r="W299" s="156"/>
      <c r="X299" s="156"/>
      <c r="Y299" s="156"/>
      <c r="Z299" s="156"/>
      <c r="AA299" s="156"/>
      <c r="AB299" s="156"/>
      <c r="AC299" s="156"/>
      <c r="AD299" s="156"/>
      <c r="AE299" s="156"/>
      <c r="AR299" s="97" t="s">
        <v>83</v>
      </c>
      <c r="AT299" s="97" t="s">
        <v>78</v>
      </c>
      <c r="AU299" s="97" t="s">
        <v>47</v>
      </c>
      <c r="AY299" s="10" t="s">
        <v>75</v>
      </c>
      <c r="BE299" s="98">
        <f>IF(N299="základní",J299,0)</f>
        <v>10608.82</v>
      </c>
      <c r="BF299" s="98">
        <f>IF(N299="snížená",J299,0)</f>
        <v>0</v>
      </c>
      <c r="BG299" s="98">
        <f>IF(N299="zákl. přenesená",J299,0)</f>
        <v>0</v>
      </c>
      <c r="BH299" s="98">
        <f>IF(N299="sníž. přenesená",J299,0)</f>
        <v>0</v>
      </c>
      <c r="BI299" s="98">
        <f>IF(N299="nulová",J299,0)</f>
        <v>0</v>
      </c>
      <c r="BJ299" s="10" t="s">
        <v>46</v>
      </c>
      <c r="BK299" s="98">
        <f>ROUND(I299*H299,2)</f>
        <v>10608.82</v>
      </c>
      <c r="BL299" s="10" t="s">
        <v>83</v>
      </c>
      <c r="BM299" s="97" t="s">
        <v>388</v>
      </c>
    </row>
    <row r="300" spans="1:65" s="1" customFormat="1" ht="29.25" x14ac:dyDescent="0.2">
      <c r="A300" s="156"/>
      <c r="B300" s="16"/>
      <c r="C300" s="156"/>
      <c r="D300" s="99" t="s">
        <v>84</v>
      </c>
      <c r="E300" s="156"/>
      <c r="F300" s="100" t="s">
        <v>387</v>
      </c>
      <c r="G300" s="156"/>
      <c r="H300" s="156"/>
      <c r="I300" s="101"/>
      <c r="J300" s="156"/>
      <c r="K300" s="156"/>
      <c r="L300" s="16"/>
      <c r="M300" s="102"/>
      <c r="N300" s="103"/>
      <c r="O300" s="27"/>
      <c r="P300" s="27"/>
      <c r="Q300" s="27"/>
      <c r="R300" s="27"/>
      <c r="S300" s="27"/>
      <c r="T300" s="28"/>
      <c r="U300" s="156"/>
      <c r="V300" s="156"/>
      <c r="W300" s="156"/>
      <c r="X300" s="156"/>
      <c r="Y300" s="156"/>
      <c r="Z300" s="156"/>
      <c r="AA300" s="156"/>
      <c r="AB300" s="156"/>
      <c r="AC300" s="156"/>
      <c r="AD300" s="156"/>
      <c r="AE300" s="156"/>
      <c r="AT300" s="10" t="s">
        <v>84</v>
      </c>
      <c r="AU300" s="10" t="s">
        <v>47</v>
      </c>
    </row>
    <row r="301" spans="1:65" s="5" customFormat="1" ht="22.9" customHeight="1" x14ac:dyDescent="0.2">
      <c r="B301" s="72"/>
      <c r="D301" s="73" t="s">
        <v>44</v>
      </c>
      <c r="E301" s="83" t="s">
        <v>390</v>
      </c>
      <c r="F301" s="83" t="s">
        <v>391</v>
      </c>
      <c r="I301" s="75"/>
      <c r="J301" s="84">
        <f>BK301</f>
        <v>7853.6299999999992</v>
      </c>
      <c r="L301" s="72"/>
      <c r="M301" s="77"/>
      <c r="N301" s="78"/>
      <c r="O301" s="78"/>
      <c r="P301" s="79">
        <f>SUM(P302:P320)</f>
        <v>0</v>
      </c>
      <c r="Q301" s="78"/>
      <c r="R301" s="79">
        <f>SUM(R302:R320)</f>
        <v>0</v>
      </c>
      <c r="S301" s="78"/>
      <c r="T301" s="80">
        <f>SUM(T302:T320)</f>
        <v>0</v>
      </c>
      <c r="AR301" s="73" t="s">
        <v>46</v>
      </c>
      <c r="AT301" s="81" t="s">
        <v>44</v>
      </c>
      <c r="AU301" s="81" t="s">
        <v>46</v>
      </c>
      <c r="AY301" s="73" t="s">
        <v>75</v>
      </c>
      <c r="BK301" s="82">
        <f>SUM(BK302:BK320)</f>
        <v>7853.6299999999992</v>
      </c>
    </row>
    <row r="302" spans="1:65" s="1" customFormat="1" ht="14.45" customHeight="1" x14ac:dyDescent="0.2">
      <c r="A302" s="156"/>
      <c r="B302" s="85"/>
      <c r="C302" s="86" t="s">
        <v>392</v>
      </c>
      <c r="D302" s="86" t="s">
        <v>78</v>
      </c>
      <c r="E302" s="87" t="s">
        <v>181</v>
      </c>
      <c r="F302" s="88" t="s">
        <v>182</v>
      </c>
      <c r="G302" s="89" t="s">
        <v>119</v>
      </c>
      <c r="H302" s="90">
        <v>21.440999999999999</v>
      </c>
      <c r="I302" s="91">
        <v>40.477390926043419</v>
      </c>
      <c r="J302" s="92">
        <f>ROUND(I302*H302,2)</f>
        <v>867.88</v>
      </c>
      <c r="K302" s="88" t="s">
        <v>82</v>
      </c>
      <c r="L302" s="16"/>
      <c r="M302" s="93" t="s">
        <v>0</v>
      </c>
      <c r="N302" s="94" t="s">
        <v>27</v>
      </c>
      <c r="O302" s="27"/>
      <c r="P302" s="95">
        <f>O302*H302</f>
        <v>0</v>
      </c>
      <c r="Q302" s="95">
        <v>0</v>
      </c>
      <c r="R302" s="95">
        <f>Q302*H302</f>
        <v>0</v>
      </c>
      <c r="S302" s="95">
        <v>0</v>
      </c>
      <c r="T302" s="96">
        <f>S302*H302</f>
        <v>0</v>
      </c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R302" s="97" t="s">
        <v>83</v>
      </c>
      <c r="AT302" s="97" t="s">
        <v>78</v>
      </c>
      <c r="AU302" s="97" t="s">
        <v>47</v>
      </c>
      <c r="AY302" s="10" t="s">
        <v>75</v>
      </c>
      <c r="BE302" s="98">
        <f>IF(N302="základní",J302,0)</f>
        <v>867.88</v>
      </c>
      <c r="BF302" s="98">
        <f>IF(N302="snížená",J302,0)</f>
        <v>0</v>
      </c>
      <c r="BG302" s="98">
        <f>IF(N302="zákl. přenesená",J302,0)</f>
        <v>0</v>
      </c>
      <c r="BH302" s="98">
        <f>IF(N302="sníž. přenesená",J302,0)</f>
        <v>0</v>
      </c>
      <c r="BI302" s="98">
        <f>IF(N302="nulová",J302,0)</f>
        <v>0</v>
      </c>
      <c r="BJ302" s="10" t="s">
        <v>46</v>
      </c>
      <c r="BK302" s="98">
        <f>ROUND(I302*H302,2)</f>
        <v>867.88</v>
      </c>
      <c r="BL302" s="10" t="s">
        <v>83</v>
      </c>
      <c r="BM302" s="97" t="s">
        <v>393</v>
      </c>
    </row>
    <row r="303" spans="1:65" s="1" customFormat="1" ht="19.5" x14ac:dyDescent="0.2">
      <c r="A303" s="156"/>
      <c r="B303" s="16"/>
      <c r="C303" s="156"/>
      <c r="D303" s="99" t="s">
        <v>84</v>
      </c>
      <c r="E303" s="156"/>
      <c r="F303" s="100" t="s">
        <v>183</v>
      </c>
      <c r="G303" s="156"/>
      <c r="H303" s="156"/>
      <c r="I303" s="101"/>
      <c r="J303" s="156"/>
      <c r="K303" s="156"/>
      <c r="L303" s="16"/>
      <c r="M303" s="102"/>
      <c r="N303" s="103"/>
      <c r="O303" s="27"/>
      <c r="P303" s="27"/>
      <c r="Q303" s="27"/>
      <c r="R303" s="27"/>
      <c r="S303" s="27"/>
      <c r="T303" s="28"/>
      <c r="U303" s="156"/>
      <c r="V303" s="156"/>
      <c r="W303" s="156"/>
      <c r="X303" s="156"/>
      <c r="Y303" s="156"/>
      <c r="Z303" s="156"/>
      <c r="AA303" s="156"/>
      <c r="AB303" s="156"/>
      <c r="AC303" s="156"/>
      <c r="AD303" s="156"/>
      <c r="AE303" s="156"/>
      <c r="AT303" s="10" t="s">
        <v>84</v>
      </c>
      <c r="AU303" s="10" t="s">
        <v>47</v>
      </c>
    </row>
    <row r="304" spans="1:65" s="7" customFormat="1" x14ac:dyDescent="0.2">
      <c r="B304" s="112"/>
      <c r="D304" s="99" t="s">
        <v>87</v>
      </c>
      <c r="E304" s="113" t="s">
        <v>0</v>
      </c>
      <c r="F304" s="114" t="s">
        <v>534</v>
      </c>
      <c r="H304" s="115">
        <f>23.823*0.4*2</f>
        <v>19.058400000000002</v>
      </c>
      <c r="I304" s="116"/>
      <c r="L304" s="112"/>
      <c r="M304" s="117"/>
      <c r="N304" s="118"/>
      <c r="O304" s="118"/>
      <c r="P304" s="118"/>
      <c r="Q304" s="118"/>
      <c r="R304" s="118"/>
      <c r="S304" s="118"/>
      <c r="T304" s="119"/>
      <c r="AT304" s="113" t="s">
        <v>87</v>
      </c>
      <c r="AU304" s="113" t="s">
        <v>47</v>
      </c>
      <c r="AV304" s="7" t="s">
        <v>47</v>
      </c>
      <c r="AW304" s="7" t="s">
        <v>19</v>
      </c>
      <c r="AX304" s="7" t="s">
        <v>45</v>
      </c>
      <c r="AY304" s="113" t="s">
        <v>75</v>
      </c>
    </row>
    <row r="305" spans="1:65" s="7" customFormat="1" x14ac:dyDescent="0.2">
      <c r="B305" s="112"/>
      <c r="D305" s="99" t="s">
        <v>87</v>
      </c>
      <c r="E305" s="113" t="s">
        <v>0</v>
      </c>
      <c r="F305" s="114" t="s">
        <v>535</v>
      </c>
      <c r="H305" s="115">
        <f>23.823*0.05*2</f>
        <v>2.3823000000000003</v>
      </c>
      <c r="I305" s="116"/>
      <c r="L305" s="112"/>
      <c r="M305" s="117"/>
      <c r="N305" s="118"/>
      <c r="O305" s="118"/>
      <c r="P305" s="118"/>
      <c r="Q305" s="118"/>
      <c r="R305" s="118"/>
      <c r="S305" s="118"/>
      <c r="T305" s="119"/>
      <c r="AT305" s="113" t="s">
        <v>87</v>
      </c>
      <c r="AU305" s="113" t="s">
        <v>47</v>
      </c>
      <c r="AV305" s="7" t="s">
        <v>47</v>
      </c>
      <c r="AW305" s="7" t="s">
        <v>19</v>
      </c>
      <c r="AX305" s="7" t="s">
        <v>45</v>
      </c>
      <c r="AY305" s="113" t="s">
        <v>75</v>
      </c>
    </row>
    <row r="306" spans="1:65" s="9" customFormat="1" x14ac:dyDescent="0.2">
      <c r="B306" s="128"/>
      <c r="D306" s="99" t="s">
        <v>87</v>
      </c>
      <c r="E306" s="129" t="s">
        <v>0</v>
      </c>
      <c r="F306" s="130" t="s">
        <v>103</v>
      </c>
      <c r="H306" s="131">
        <f>H304+H305</f>
        <v>21.440700000000003</v>
      </c>
      <c r="I306" s="132"/>
      <c r="L306" s="128"/>
      <c r="M306" s="133"/>
      <c r="N306" s="134"/>
      <c r="O306" s="134"/>
      <c r="P306" s="134"/>
      <c r="Q306" s="134"/>
      <c r="R306" s="134"/>
      <c r="S306" s="134"/>
      <c r="T306" s="135"/>
      <c r="AT306" s="129" t="s">
        <v>87</v>
      </c>
      <c r="AU306" s="129" t="s">
        <v>47</v>
      </c>
      <c r="AV306" s="9" t="s">
        <v>83</v>
      </c>
      <c r="AW306" s="9" t="s">
        <v>19</v>
      </c>
      <c r="AX306" s="9" t="s">
        <v>46</v>
      </c>
      <c r="AY306" s="129" t="s">
        <v>75</v>
      </c>
    </row>
    <row r="307" spans="1:65" s="1" customFormat="1" ht="24.2" customHeight="1" x14ac:dyDescent="0.2">
      <c r="A307" s="156"/>
      <c r="B307" s="85"/>
      <c r="C307" s="86" t="s">
        <v>394</v>
      </c>
      <c r="D307" s="86" t="s">
        <v>78</v>
      </c>
      <c r="E307" s="87" t="s">
        <v>186</v>
      </c>
      <c r="F307" s="88" t="s">
        <v>187</v>
      </c>
      <c r="G307" s="89" t="s">
        <v>119</v>
      </c>
      <c r="H307" s="90">
        <v>300.17399999999998</v>
      </c>
      <c r="I307" s="91">
        <v>3.1192340975392101</v>
      </c>
      <c r="J307" s="92">
        <f>ROUND(I307*H307,2)</f>
        <v>936.31</v>
      </c>
      <c r="K307" s="88" t="s">
        <v>82</v>
      </c>
      <c r="L307" s="16"/>
      <c r="M307" s="93" t="s">
        <v>0</v>
      </c>
      <c r="N307" s="94" t="s">
        <v>27</v>
      </c>
      <c r="O307" s="27"/>
      <c r="P307" s="95">
        <f>O307*H307</f>
        <v>0</v>
      </c>
      <c r="Q307" s="95">
        <v>0</v>
      </c>
      <c r="R307" s="95">
        <f>Q307*H307</f>
        <v>0</v>
      </c>
      <c r="S307" s="95">
        <v>0</v>
      </c>
      <c r="T307" s="96">
        <f>S307*H307</f>
        <v>0</v>
      </c>
      <c r="U307" s="156"/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/>
      <c r="AR307" s="97" t="s">
        <v>83</v>
      </c>
      <c r="AT307" s="97" t="s">
        <v>78</v>
      </c>
      <c r="AU307" s="97" t="s">
        <v>47</v>
      </c>
      <c r="AY307" s="10" t="s">
        <v>75</v>
      </c>
      <c r="BE307" s="98">
        <f>IF(N307="základní",J307,0)</f>
        <v>936.31</v>
      </c>
      <c r="BF307" s="98">
        <f>IF(N307="snížená",J307,0)</f>
        <v>0</v>
      </c>
      <c r="BG307" s="98">
        <f>IF(N307="zákl. přenesená",J307,0)</f>
        <v>0</v>
      </c>
      <c r="BH307" s="98">
        <f>IF(N307="sníž. přenesená",J307,0)</f>
        <v>0</v>
      </c>
      <c r="BI307" s="98">
        <f>IF(N307="nulová",J307,0)</f>
        <v>0</v>
      </c>
      <c r="BJ307" s="10" t="s">
        <v>46</v>
      </c>
      <c r="BK307" s="98">
        <f>ROUND(I307*H307,2)</f>
        <v>936.31</v>
      </c>
      <c r="BL307" s="10" t="s">
        <v>83</v>
      </c>
      <c r="BM307" s="97" t="s">
        <v>395</v>
      </c>
    </row>
    <row r="308" spans="1:65" s="1" customFormat="1" ht="29.25" x14ac:dyDescent="0.2">
      <c r="A308" s="156"/>
      <c r="B308" s="16"/>
      <c r="C308" s="156"/>
      <c r="D308" s="99" t="s">
        <v>84</v>
      </c>
      <c r="E308" s="156"/>
      <c r="F308" s="100" t="s">
        <v>188</v>
      </c>
      <c r="G308" s="156"/>
      <c r="H308" s="156"/>
      <c r="I308" s="101"/>
      <c r="J308" s="156"/>
      <c r="K308" s="156"/>
      <c r="L308" s="16"/>
      <c r="M308" s="102"/>
      <c r="N308" s="103"/>
      <c r="O308" s="27"/>
      <c r="P308" s="27"/>
      <c r="Q308" s="27"/>
      <c r="R308" s="27"/>
      <c r="S308" s="27"/>
      <c r="T308" s="28"/>
      <c r="U308" s="156"/>
      <c r="V308" s="156"/>
      <c r="W308" s="156"/>
      <c r="X308" s="156"/>
      <c r="Y308" s="156"/>
      <c r="Z308" s="156"/>
      <c r="AA308" s="156"/>
      <c r="AB308" s="156"/>
      <c r="AC308" s="156"/>
      <c r="AD308" s="156"/>
      <c r="AE308" s="156"/>
      <c r="AT308" s="10" t="s">
        <v>84</v>
      </c>
      <c r="AU308" s="10" t="s">
        <v>47</v>
      </c>
    </row>
    <row r="309" spans="1:65" s="7" customFormat="1" x14ac:dyDescent="0.2">
      <c r="B309" s="112"/>
      <c r="D309" s="99" t="s">
        <v>87</v>
      </c>
      <c r="E309" s="113" t="s">
        <v>0</v>
      </c>
      <c r="F309" s="114" t="s">
        <v>184</v>
      </c>
      <c r="H309" s="115">
        <v>19.058</v>
      </c>
      <c r="I309" s="116"/>
      <c r="L309" s="112"/>
      <c r="M309" s="117"/>
      <c r="N309" s="118"/>
      <c r="O309" s="118"/>
      <c r="P309" s="118"/>
      <c r="Q309" s="118"/>
      <c r="R309" s="118"/>
      <c r="S309" s="118"/>
      <c r="T309" s="119"/>
      <c r="AT309" s="113" t="s">
        <v>87</v>
      </c>
      <c r="AU309" s="113" t="s">
        <v>47</v>
      </c>
      <c r="AV309" s="7" t="s">
        <v>47</v>
      </c>
      <c r="AW309" s="7" t="s">
        <v>19</v>
      </c>
      <c r="AX309" s="7" t="s">
        <v>45</v>
      </c>
      <c r="AY309" s="113" t="s">
        <v>75</v>
      </c>
    </row>
    <row r="310" spans="1:65" s="7" customFormat="1" x14ac:dyDescent="0.2">
      <c r="B310" s="112"/>
      <c r="D310" s="99" t="s">
        <v>87</v>
      </c>
      <c r="E310" s="113" t="s">
        <v>0</v>
      </c>
      <c r="F310" s="114" t="s">
        <v>185</v>
      </c>
      <c r="H310" s="115">
        <v>2.3820000000000001</v>
      </c>
      <c r="I310" s="116"/>
      <c r="L310" s="112"/>
      <c r="M310" s="117"/>
      <c r="N310" s="118"/>
      <c r="O310" s="118"/>
      <c r="P310" s="118"/>
      <c r="Q310" s="118"/>
      <c r="R310" s="118"/>
      <c r="S310" s="118"/>
      <c r="T310" s="119"/>
      <c r="AT310" s="113" t="s">
        <v>87</v>
      </c>
      <c r="AU310" s="113" t="s">
        <v>47</v>
      </c>
      <c r="AV310" s="7" t="s">
        <v>47</v>
      </c>
      <c r="AW310" s="7" t="s">
        <v>19</v>
      </c>
      <c r="AX310" s="7" t="s">
        <v>45</v>
      </c>
      <c r="AY310" s="113" t="s">
        <v>75</v>
      </c>
    </row>
    <row r="311" spans="1:65" s="9" customFormat="1" x14ac:dyDescent="0.2">
      <c r="B311" s="128"/>
      <c r="D311" s="99" t="s">
        <v>87</v>
      </c>
      <c r="E311" s="129" t="s">
        <v>0</v>
      </c>
      <c r="F311" s="130" t="s">
        <v>103</v>
      </c>
      <c r="H311" s="131">
        <v>21.440999999999999</v>
      </c>
      <c r="I311" s="132"/>
      <c r="L311" s="128"/>
      <c r="M311" s="133"/>
      <c r="N311" s="134"/>
      <c r="O311" s="134"/>
      <c r="P311" s="134"/>
      <c r="Q311" s="134"/>
      <c r="R311" s="134"/>
      <c r="S311" s="134"/>
      <c r="T311" s="135"/>
      <c r="AT311" s="129" t="s">
        <v>87</v>
      </c>
      <c r="AU311" s="129" t="s">
        <v>47</v>
      </c>
      <c r="AV311" s="9" t="s">
        <v>83</v>
      </c>
      <c r="AW311" s="9" t="s">
        <v>19</v>
      </c>
      <c r="AX311" s="9" t="s">
        <v>46</v>
      </c>
      <c r="AY311" s="129" t="s">
        <v>75</v>
      </c>
    </row>
    <row r="312" spans="1:65" s="7" customFormat="1" x14ac:dyDescent="0.2">
      <c r="B312" s="112"/>
      <c r="D312" s="99" t="s">
        <v>87</v>
      </c>
      <c r="F312" s="114" t="s">
        <v>536</v>
      </c>
      <c r="H312" s="115">
        <f>H311*14</f>
        <v>300.17399999999998</v>
      </c>
      <c r="I312" s="116"/>
      <c r="L312" s="112"/>
      <c r="M312" s="117"/>
      <c r="N312" s="118"/>
      <c r="O312" s="118"/>
      <c r="P312" s="118"/>
      <c r="Q312" s="118"/>
      <c r="R312" s="118"/>
      <c r="S312" s="118"/>
      <c r="T312" s="119"/>
      <c r="AT312" s="113" t="s">
        <v>87</v>
      </c>
      <c r="AU312" s="113" t="s">
        <v>47</v>
      </c>
      <c r="AV312" s="7" t="s">
        <v>47</v>
      </c>
      <c r="AW312" s="7" t="s">
        <v>1</v>
      </c>
      <c r="AX312" s="7" t="s">
        <v>46</v>
      </c>
      <c r="AY312" s="113" t="s">
        <v>75</v>
      </c>
    </row>
    <row r="313" spans="1:65" s="1" customFormat="1" ht="24.2" customHeight="1" x14ac:dyDescent="0.2">
      <c r="A313" s="156"/>
      <c r="B313" s="85"/>
      <c r="C313" s="86" t="s">
        <v>396</v>
      </c>
      <c r="D313" s="86" t="s">
        <v>78</v>
      </c>
      <c r="E313" s="87" t="s">
        <v>189</v>
      </c>
      <c r="F313" s="88" t="s">
        <v>190</v>
      </c>
      <c r="G313" s="89" t="s">
        <v>119</v>
      </c>
      <c r="H313" s="90">
        <v>21.440999999999999</v>
      </c>
      <c r="I313" s="91">
        <v>155.98322812074767</v>
      </c>
      <c r="J313" s="92">
        <f>ROUND(I313*H313,2)</f>
        <v>3344.44</v>
      </c>
      <c r="K313" s="88" t="s">
        <v>82</v>
      </c>
      <c r="L313" s="16"/>
      <c r="M313" s="93" t="s">
        <v>0</v>
      </c>
      <c r="N313" s="94" t="s">
        <v>27</v>
      </c>
      <c r="O313" s="27"/>
      <c r="P313" s="95">
        <f>O313*H313</f>
        <v>0</v>
      </c>
      <c r="Q313" s="95">
        <v>0</v>
      </c>
      <c r="R313" s="95">
        <f>Q313*H313</f>
        <v>0</v>
      </c>
      <c r="S313" s="95">
        <v>0</v>
      </c>
      <c r="T313" s="96">
        <f>S313*H313</f>
        <v>0</v>
      </c>
      <c r="U313" s="156"/>
      <c r="V313" s="156"/>
      <c r="W313" s="156"/>
      <c r="X313" s="156"/>
      <c r="Y313" s="156"/>
      <c r="Z313" s="156"/>
      <c r="AA313" s="156"/>
      <c r="AB313" s="156"/>
      <c r="AC313" s="156"/>
      <c r="AD313" s="156"/>
      <c r="AE313" s="156"/>
      <c r="AR313" s="97" t="s">
        <v>83</v>
      </c>
      <c r="AT313" s="97" t="s">
        <v>78</v>
      </c>
      <c r="AU313" s="97" t="s">
        <v>47</v>
      </c>
      <c r="AY313" s="10" t="s">
        <v>75</v>
      </c>
      <c r="BE313" s="98">
        <f>IF(N313="základní",J313,0)</f>
        <v>3344.44</v>
      </c>
      <c r="BF313" s="98">
        <f>IF(N313="snížená",J313,0)</f>
        <v>0</v>
      </c>
      <c r="BG313" s="98">
        <f>IF(N313="zákl. přenesená",J313,0)</f>
        <v>0</v>
      </c>
      <c r="BH313" s="98">
        <f>IF(N313="sníž. přenesená",J313,0)</f>
        <v>0</v>
      </c>
      <c r="BI313" s="98">
        <f>IF(N313="nulová",J313,0)</f>
        <v>0</v>
      </c>
      <c r="BJ313" s="10" t="s">
        <v>46</v>
      </c>
      <c r="BK313" s="98">
        <f>ROUND(I313*H313,2)</f>
        <v>3344.44</v>
      </c>
      <c r="BL313" s="10" t="s">
        <v>83</v>
      </c>
      <c r="BM313" s="97" t="s">
        <v>397</v>
      </c>
    </row>
    <row r="314" spans="1:65" s="1" customFormat="1" x14ac:dyDescent="0.2">
      <c r="A314" s="156"/>
      <c r="B314" s="16"/>
      <c r="C314" s="156"/>
      <c r="D314" s="99" t="s">
        <v>84</v>
      </c>
      <c r="E314" s="156"/>
      <c r="F314" s="100" t="s">
        <v>191</v>
      </c>
      <c r="G314" s="156"/>
      <c r="H314" s="156"/>
      <c r="I314" s="101"/>
      <c r="J314" s="156"/>
      <c r="K314" s="156"/>
      <c r="L314" s="16"/>
      <c r="M314" s="102"/>
      <c r="N314" s="103"/>
      <c r="O314" s="27"/>
      <c r="P314" s="27"/>
      <c r="Q314" s="27"/>
      <c r="R314" s="27"/>
      <c r="S314" s="27"/>
      <c r="T314" s="28"/>
      <c r="U314" s="156"/>
      <c r="V314" s="156"/>
      <c r="W314" s="156"/>
      <c r="X314" s="156"/>
      <c r="Y314" s="156"/>
      <c r="Z314" s="156"/>
      <c r="AA314" s="156"/>
      <c r="AB314" s="156"/>
      <c r="AC314" s="156"/>
      <c r="AD314" s="156"/>
      <c r="AE314" s="156"/>
      <c r="AT314" s="10" t="s">
        <v>84</v>
      </c>
      <c r="AU314" s="10" t="s">
        <v>47</v>
      </c>
    </row>
    <row r="315" spans="1:65" s="1" customFormat="1" ht="37.9" customHeight="1" x14ac:dyDescent="0.2">
      <c r="A315" s="156"/>
      <c r="B315" s="85"/>
      <c r="C315" s="86" t="s">
        <v>398</v>
      </c>
      <c r="D315" s="86" t="s">
        <v>78</v>
      </c>
      <c r="E315" s="87" t="s">
        <v>192</v>
      </c>
      <c r="F315" s="88" t="s">
        <v>120</v>
      </c>
      <c r="G315" s="89" t="s">
        <v>119</v>
      </c>
      <c r="H315" s="90">
        <v>19.058</v>
      </c>
      <c r="I315" s="91">
        <v>110.6455721</v>
      </c>
      <c r="J315" s="92">
        <f>ROUND(I315*H315,2)</f>
        <v>2108.6799999999998</v>
      </c>
      <c r="K315" s="88" t="s">
        <v>82</v>
      </c>
      <c r="L315" s="16"/>
      <c r="M315" s="93" t="s">
        <v>0</v>
      </c>
      <c r="N315" s="94" t="s">
        <v>27</v>
      </c>
      <c r="O315" s="27"/>
      <c r="P315" s="95">
        <f>O315*H315</f>
        <v>0</v>
      </c>
      <c r="Q315" s="95">
        <v>0</v>
      </c>
      <c r="R315" s="95">
        <f>Q315*H315</f>
        <v>0</v>
      </c>
      <c r="S315" s="95">
        <v>0</v>
      </c>
      <c r="T315" s="96">
        <f>S315*H315</f>
        <v>0</v>
      </c>
      <c r="U315" s="156"/>
      <c r="V315" s="156"/>
      <c r="W315" s="156"/>
      <c r="X315" s="156"/>
      <c r="Y315" s="156"/>
      <c r="Z315" s="156"/>
      <c r="AA315" s="156"/>
      <c r="AB315" s="156"/>
      <c r="AC315" s="156"/>
      <c r="AD315" s="156"/>
      <c r="AE315" s="156"/>
      <c r="AR315" s="97" t="s">
        <v>83</v>
      </c>
      <c r="AT315" s="97" t="s">
        <v>78</v>
      </c>
      <c r="AU315" s="97" t="s">
        <v>47</v>
      </c>
      <c r="AY315" s="10" t="s">
        <v>75</v>
      </c>
      <c r="BE315" s="98">
        <f>IF(N315="základní",J315,0)</f>
        <v>2108.6799999999998</v>
      </c>
      <c r="BF315" s="98">
        <f>IF(N315="snížená",J315,0)</f>
        <v>0</v>
      </c>
      <c r="BG315" s="98">
        <f>IF(N315="zákl. přenesená",J315,0)</f>
        <v>0</v>
      </c>
      <c r="BH315" s="98">
        <f>IF(N315="sníž. přenesená",J315,0)</f>
        <v>0</v>
      </c>
      <c r="BI315" s="98">
        <f>IF(N315="nulová",J315,0)</f>
        <v>0</v>
      </c>
      <c r="BJ315" s="10" t="s">
        <v>46</v>
      </c>
      <c r="BK315" s="98">
        <f>ROUND(I315*H315,2)</f>
        <v>2108.6799999999998</v>
      </c>
      <c r="BL315" s="10" t="s">
        <v>83</v>
      </c>
      <c r="BM315" s="97" t="s">
        <v>399</v>
      </c>
    </row>
    <row r="316" spans="1:65" s="1" customFormat="1" ht="29.25" x14ac:dyDescent="0.2">
      <c r="A316" s="156"/>
      <c r="B316" s="16"/>
      <c r="C316" s="156"/>
      <c r="D316" s="99" t="s">
        <v>84</v>
      </c>
      <c r="E316" s="156"/>
      <c r="F316" s="100" t="s">
        <v>120</v>
      </c>
      <c r="G316" s="156"/>
      <c r="H316" s="156"/>
      <c r="I316" s="101"/>
      <c r="J316" s="156"/>
      <c r="K316" s="156"/>
      <c r="L316" s="16"/>
      <c r="M316" s="102"/>
      <c r="N316" s="103"/>
      <c r="O316" s="27"/>
      <c r="P316" s="27"/>
      <c r="Q316" s="27"/>
      <c r="R316" s="27"/>
      <c r="S316" s="27"/>
      <c r="T316" s="28"/>
      <c r="U316" s="156"/>
      <c r="V316" s="156"/>
      <c r="W316" s="156"/>
      <c r="X316" s="156"/>
      <c r="Y316" s="156"/>
      <c r="Z316" s="156"/>
      <c r="AA316" s="156"/>
      <c r="AB316" s="156"/>
      <c r="AC316" s="156"/>
      <c r="AD316" s="156"/>
      <c r="AE316" s="156"/>
      <c r="AT316" s="10" t="s">
        <v>84</v>
      </c>
      <c r="AU316" s="10" t="s">
        <v>47</v>
      </c>
    </row>
    <row r="317" spans="1:65" s="7" customFormat="1" x14ac:dyDescent="0.2">
      <c r="B317" s="112"/>
      <c r="D317" s="99" t="s">
        <v>87</v>
      </c>
      <c r="E317" s="113" t="s">
        <v>0</v>
      </c>
      <c r="F317" s="114" t="s">
        <v>412</v>
      </c>
      <c r="H317" s="115">
        <v>19.058</v>
      </c>
      <c r="I317" s="116"/>
      <c r="L317" s="112"/>
      <c r="M317" s="117"/>
      <c r="N317" s="118"/>
      <c r="O317" s="118"/>
      <c r="P317" s="118"/>
      <c r="Q317" s="118"/>
      <c r="R317" s="118"/>
      <c r="S317" s="118"/>
      <c r="T317" s="119"/>
      <c r="AT317" s="113" t="s">
        <v>87</v>
      </c>
      <c r="AU317" s="113" t="s">
        <v>47</v>
      </c>
      <c r="AV317" s="7" t="s">
        <v>47</v>
      </c>
      <c r="AW317" s="7" t="s">
        <v>19</v>
      </c>
      <c r="AX317" s="7" t="s">
        <v>46</v>
      </c>
      <c r="AY317" s="113" t="s">
        <v>75</v>
      </c>
    </row>
    <row r="318" spans="1:65" s="1" customFormat="1" ht="37.9" customHeight="1" x14ac:dyDescent="0.2">
      <c r="A318" s="156"/>
      <c r="B318" s="85"/>
      <c r="C318" s="86" t="s">
        <v>400</v>
      </c>
      <c r="D318" s="86" t="s">
        <v>78</v>
      </c>
      <c r="E318" s="87" t="s">
        <v>193</v>
      </c>
      <c r="F318" s="88" t="s">
        <v>194</v>
      </c>
      <c r="G318" s="89" t="s">
        <v>119</v>
      </c>
      <c r="H318" s="90">
        <v>2.3820000000000001</v>
      </c>
      <c r="I318" s="91">
        <v>250.3439285</v>
      </c>
      <c r="J318" s="92">
        <f>ROUND(I318*H318,2)</f>
        <v>596.32000000000005</v>
      </c>
      <c r="K318" s="88" t="s">
        <v>82</v>
      </c>
      <c r="L318" s="16"/>
      <c r="M318" s="93" t="s">
        <v>0</v>
      </c>
      <c r="N318" s="94" t="s">
        <v>27</v>
      </c>
      <c r="O318" s="27"/>
      <c r="P318" s="95">
        <f>O318*H318</f>
        <v>0</v>
      </c>
      <c r="Q318" s="95">
        <v>0</v>
      </c>
      <c r="R318" s="95">
        <f>Q318*H318</f>
        <v>0</v>
      </c>
      <c r="S318" s="95">
        <v>0</v>
      </c>
      <c r="T318" s="96">
        <f>S318*H318</f>
        <v>0</v>
      </c>
      <c r="U318" s="156"/>
      <c r="V318" s="156"/>
      <c r="W318" s="156"/>
      <c r="X318" s="156"/>
      <c r="Y318" s="156"/>
      <c r="Z318" s="156"/>
      <c r="AA318" s="156"/>
      <c r="AB318" s="156"/>
      <c r="AC318" s="156"/>
      <c r="AD318" s="156"/>
      <c r="AE318" s="156"/>
      <c r="AR318" s="97" t="s">
        <v>83</v>
      </c>
      <c r="AT318" s="97" t="s">
        <v>78</v>
      </c>
      <c r="AU318" s="97" t="s">
        <v>47</v>
      </c>
      <c r="AY318" s="10" t="s">
        <v>75</v>
      </c>
      <c r="BE318" s="98">
        <f>IF(N318="základní",J318,0)</f>
        <v>596.32000000000005</v>
      </c>
      <c r="BF318" s="98">
        <f>IF(N318="snížená",J318,0)</f>
        <v>0</v>
      </c>
      <c r="BG318" s="98">
        <f>IF(N318="zákl. přenesená",J318,0)</f>
        <v>0</v>
      </c>
      <c r="BH318" s="98">
        <f>IF(N318="sníž. přenesená",J318,0)</f>
        <v>0</v>
      </c>
      <c r="BI318" s="98">
        <f>IF(N318="nulová",J318,0)</f>
        <v>0</v>
      </c>
      <c r="BJ318" s="10" t="s">
        <v>46</v>
      </c>
      <c r="BK318" s="98">
        <f>ROUND(I318*H318,2)</f>
        <v>596.32000000000005</v>
      </c>
      <c r="BL318" s="10" t="s">
        <v>83</v>
      </c>
      <c r="BM318" s="97" t="s">
        <v>401</v>
      </c>
    </row>
    <row r="319" spans="1:65" s="1" customFormat="1" ht="29.25" x14ac:dyDescent="0.2">
      <c r="A319" s="156"/>
      <c r="B319" s="16"/>
      <c r="C319" s="156"/>
      <c r="D319" s="99" t="s">
        <v>84</v>
      </c>
      <c r="E319" s="156"/>
      <c r="F319" s="100" t="s">
        <v>194</v>
      </c>
      <c r="G319" s="156"/>
      <c r="H319" s="156"/>
      <c r="I319" s="101"/>
      <c r="J319" s="156"/>
      <c r="K319" s="156"/>
      <c r="L319" s="16"/>
      <c r="M319" s="102"/>
      <c r="N319" s="103"/>
      <c r="O319" s="27"/>
      <c r="P319" s="27"/>
      <c r="Q319" s="27"/>
      <c r="R319" s="27"/>
      <c r="S319" s="27"/>
      <c r="T319" s="28"/>
      <c r="U319" s="156"/>
      <c r="V319" s="156"/>
      <c r="W319" s="156"/>
      <c r="X319" s="156"/>
      <c r="Y319" s="156"/>
      <c r="Z319" s="156"/>
      <c r="AA319" s="156"/>
      <c r="AB319" s="156"/>
      <c r="AC319" s="156"/>
      <c r="AD319" s="156"/>
      <c r="AE319" s="156"/>
      <c r="AT319" s="10" t="s">
        <v>84</v>
      </c>
      <c r="AU319" s="10" t="s">
        <v>47</v>
      </c>
    </row>
    <row r="320" spans="1:65" s="7" customFormat="1" x14ac:dyDescent="0.2">
      <c r="B320" s="112"/>
      <c r="D320" s="99" t="s">
        <v>87</v>
      </c>
      <c r="E320" s="113" t="s">
        <v>0</v>
      </c>
      <c r="F320" s="114" t="s">
        <v>185</v>
      </c>
      <c r="H320" s="115">
        <v>2.3820000000000001</v>
      </c>
      <c r="I320" s="116"/>
      <c r="L320" s="112"/>
      <c r="M320" s="117"/>
      <c r="N320" s="118"/>
      <c r="O320" s="118"/>
      <c r="P320" s="118"/>
      <c r="Q320" s="118"/>
      <c r="R320" s="118"/>
      <c r="S320" s="118"/>
      <c r="T320" s="119"/>
      <c r="AT320" s="113" t="s">
        <v>87</v>
      </c>
      <c r="AU320" s="113" t="s">
        <v>47</v>
      </c>
      <c r="AV320" s="7" t="s">
        <v>47</v>
      </c>
      <c r="AW320" s="7" t="s">
        <v>19</v>
      </c>
      <c r="AX320" s="7" t="s">
        <v>46</v>
      </c>
      <c r="AY320" s="113" t="s">
        <v>75</v>
      </c>
    </row>
    <row r="321" spans="1:65" s="5" customFormat="1" ht="22.9" customHeight="1" x14ac:dyDescent="0.2">
      <c r="B321" s="72"/>
      <c r="D321" s="73" t="s">
        <v>44</v>
      </c>
      <c r="E321" s="83" t="s">
        <v>136</v>
      </c>
      <c r="F321" s="83" t="s">
        <v>137</v>
      </c>
      <c r="I321" s="75"/>
      <c r="J321" s="84">
        <f>BK321</f>
        <v>1628.61</v>
      </c>
      <c r="L321" s="72"/>
      <c r="M321" s="77"/>
      <c r="N321" s="78"/>
      <c r="O321" s="78"/>
      <c r="P321" s="79">
        <f>SUM(P322:P323)</f>
        <v>0</v>
      </c>
      <c r="Q321" s="78"/>
      <c r="R321" s="79">
        <f>SUM(R322:R323)</f>
        <v>0</v>
      </c>
      <c r="S321" s="78"/>
      <c r="T321" s="80">
        <f>SUM(T322:T323)</f>
        <v>0</v>
      </c>
      <c r="AR321" s="73" t="s">
        <v>46</v>
      </c>
      <c r="AT321" s="81" t="s">
        <v>44</v>
      </c>
      <c r="AU321" s="81" t="s">
        <v>46</v>
      </c>
      <c r="AY321" s="73" t="s">
        <v>75</v>
      </c>
      <c r="BK321" s="82">
        <f>SUM(BK322:BK323)</f>
        <v>1628.61</v>
      </c>
    </row>
    <row r="322" spans="1:65" s="1" customFormat="1" ht="24.2" customHeight="1" x14ac:dyDescent="0.2">
      <c r="A322" s="156"/>
      <c r="B322" s="85"/>
      <c r="C322" s="86" t="s">
        <v>402</v>
      </c>
      <c r="D322" s="86" t="s">
        <v>78</v>
      </c>
      <c r="E322" s="87" t="s">
        <v>403</v>
      </c>
      <c r="F322" s="88" t="s">
        <v>404</v>
      </c>
      <c r="G322" s="89" t="s">
        <v>119</v>
      </c>
      <c r="H322" s="90">
        <v>1.8</v>
      </c>
      <c r="I322" s="91">
        <v>904.78117744148574</v>
      </c>
      <c r="J322" s="92">
        <f>ROUND(I322*H322,2)</f>
        <v>1628.61</v>
      </c>
      <c r="K322" s="88" t="s">
        <v>82</v>
      </c>
      <c r="L322" s="16"/>
      <c r="M322" s="93" t="s">
        <v>0</v>
      </c>
      <c r="N322" s="94" t="s">
        <v>27</v>
      </c>
      <c r="O322" s="27"/>
      <c r="P322" s="95">
        <f>O322*H322</f>
        <v>0</v>
      </c>
      <c r="Q322" s="95">
        <v>0</v>
      </c>
      <c r="R322" s="95">
        <f>Q322*H322</f>
        <v>0</v>
      </c>
      <c r="S322" s="95">
        <v>0</v>
      </c>
      <c r="T322" s="96">
        <f>S322*H322</f>
        <v>0</v>
      </c>
      <c r="U322" s="156"/>
      <c r="V322" s="156"/>
      <c r="W322" s="156"/>
      <c r="X322" s="156"/>
      <c r="Y322" s="156"/>
      <c r="Z322" s="156"/>
      <c r="AA322" s="156"/>
      <c r="AB322" s="156"/>
      <c r="AC322" s="156"/>
      <c r="AD322" s="156"/>
      <c r="AE322" s="156"/>
      <c r="AR322" s="97" t="s">
        <v>83</v>
      </c>
      <c r="AT322" s="97" t="s">
        <v>78</v>
      </c>
      <c r="AU322" s="97" t="s">
        <v>47</v>
      </c>
      <c r="AY322" s="10" t="s">
        <v>75</v>
      </c>
      <c r="BE322" s="98">
        <f>IF(N322="základní",J322,0)</f>
        <v>1628.61</v>
      </c>
      <c r="BF322" s="98">
        <f>IF(N322="snížená",J322,0)</f>
        <v>0</v>
      </c>
      <c r="BG322" s="98">
        <f>IF(N322="zákl. přenesená",J322,0)</f>
        <v>0</v>
      </c>
      <c r="BH322" s="98">
        <f>IF(N322="sníž. přenesená",J322,0)</f>
        <v>0</v>
      </c>
      <c r="BI322" s="98">
        <f>IF(N322="nulová",J322,0)</f>
        <v>0</v>
      </c>
      <c r="BJ322" s="10" t="s">
        <v>46</v>
      </c>
      <c r="BK322" s="98">
        <f>ROUND(I322*H322,2)</f>
        <v>1628.61</v>
      </c>
      <c r="BL322" s="10" t="s">
        <v>83</v>
      </c>
      <c r="BM322" s="97" t="s">
        <v>405</v>
      </c>
    </row>
    <row r="323" spans="1:65" s="1" customFormat="1" ht="29.25" x14ac:dyDescent="0.2">
      <c r="A323" s="156"/>
      <c r="B323" s="16"/>
      <c r="C323" s="156"/>
      <c r="D323" s="99" t="s">
        <v>84</v>
      </c>
      <c r="E323" s="156"/>
      <c r="F323" s="100" t="s">
        <v>406</v>
      </c>
      <c r="G323" s="156"/>
      <c r="H323" s="156"/>
      <c r="I323" s="101"/>
      <c r="J323" s="156"/>
      <c r="K323" s="156"/>
      <c r="L323" s="16"/>
      <c r="M323" s="102"/>
      <c r="N323" s="103"/>
      <c r="O323" s="27"/>
      <c r="P323" s="27"/>
      <c r="Q323" s="27"/>
      <c r="R323" s="27"/>
      <c r="S323" s="27"/>
      <c r="T323" s="28"/>
      <c r="U323" s="156"/>
      <c r="V323" s="156"/>
      <c r="W323" s="156"/>
      <c r="X323" s="156"/>
      <c r="Y323" s="156"/>
      <c r="Z323" s="156"/>
      <c r="AA323" s="156"/>
      <c r="AB323" s="156"/>
      <c r="AC323" s="156"/>
      <c r="AD323" s="156"/>
      <c r="AE323" s="156"/>
      <c r="AT323" s="10" t="s">
        <v>84</v>
      </c>
      <c r="AU323" s="10" t="s">
        <v>47</v>
      </c>
    </row>
    <row r="324" spans="1:65" s="1" customFormat="1" ht="6.95" customHeight="1" x14ac:dyDescent="0.2">
      <c r="A324" s="156"/>
      <c r="B324" s="22"/>
      <c r="C324" s="23"/>
      <c r="D324" s="23"/>
      <c r="E324" s="23"/>
      <c r="F324" s="23"/>
      <c r="G324" s="23"/>
      <c r="H324" s="23"/>
      <c r="I324" s="23"/>
      <c r="J324" s="23"/>
      <c r="K324" s="23"/>
      <c r="L324" s="16"/>
      <c r="M324" s="156"/>
      <c r="O324" s="156"/>
      <c r="P324" s="156"/>
      <c r="Q324" s="156"/>
      <c r="R324" s="156"/>
      <c r="S324" s="156"/>
      <c r="T324" s="156"/>
      <c r="U324" s="156"/>
      <c r="V324" s="156"/>
      <c r="W324" s="156"/>
      <c r="X324" s="156"/>
      <c r="Y324" s="156"/>
      <c r="Z324" s="156"/>
      <c r="AA324" s="156"/>
      <c r="AB324" s="156"/>
      <c r="AC324" s="156"/>
      <c r="AD324" s="156"/>
      <c r="AE324" s="156"/>
    </row>
  </sheetData>
  <autoFilter ref="C131:K323"/>
  <mergeCells count="15">
    <mergeCell ref="E22:H22"/>
    <mergeCell ref="L2:V2"/>
    <mergeCell ref="E7:H7"/>
    <mergeCell ref="E9:H9"/>
    <mergeCell ref="E11:H11"/>
    <mergeCell ref="E13:H13"/>
    <mergeCell ref="E120:H120"/>
    <mergeCell ref="E122:H122"/>
    <mergeCell ref="E124:H124"/>
    <mergeCell ref="E31:H31"/>
    <mergeCell ref="E84:H84"/>
    <mergeCell ref="E86:H86"/>
    <mergeCell ref="E88:H88"/>
    <mergeCell ref="E90:H90"/>
    <mergeCell ref="E118:H118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7"/>
  <sheetViews>
    <sheetView windowProtection="1" showGridLines="0" topLeftCell="A105" workbookViewId="0">
      <selection activeCell="U136" sqref="U136"/>
    </sheetView>
  </sheetViews>
  <sheetFormatPr defaultRowHeight="11.25" x14ac:dyDescent="0.2"/>
  <cols>
    <col min="1" max="1" width="8.33203125" style="146" customWidth="1"/>
    <col min="2" max="2" width="1.1640625" style="146" customWidth="1"/>
    <col min="3" max="3" width="4.1640625" style="146" customWidth="1"/>
    <col min="4" max="4" width="4.33203125" style="146" customWidth="1"/>
    <col min="5" max="5" width="17.1640625" style="146" customWidth="1"/>
    <col min="6" max="6" width="50.83203125" style="146" customWidth="1"/>
    <col min="7" max="7" width="7.5" style="146" customWidth="1"/>
    <col min="8" max="8" width="11.5" style="146" customWidth="1"/>
    <col min="9" max="11" width="20.1640625" style="146" customWidth="1"/>
    <col min="12" max="12" width="9.33203125" style="146" customWidth="1"/>
    <col min="13" max="13" width="10.83203125" style="146" hidden="1" customWidth="1"/>
    <col min="14" max="14" width="9.33203125" style="146" hidden="1" customWidth="1"/>
    <col min="15" max="20" width="14.1640625" style="146" hidden="1" customWidth="1"/>
    <col min="21" max="21" width="16.33203125" style="146" customWidth="1"/>
    <col min="22" max="22" width="12.33203125" style="146" customWidth="1"/>
    <col min="23" max="23" width="16.33203125" style="146" customWidth="1"/>
    <col min="24" max="24" width="12.33203125" style="146" customWidth="1"/>
    <col min="25" max="25" width="15" style="146" customWidth="1"/>
    <col min="26" max="26" width="11" style="146" customWidth="1"/>
    <col min="27" max="27" width="15" style="146" customWidth="1"/>
    <col min="28" max="28" width="16.33203125" style="146" customWidth="1"/>
    <col min="29" max="29" width="11" style="146" customWidth="1"/>
    <col min="30" max="30" width="15" style="146" customWidth="1"/>
    <col min="31" max="31" width="16.33203125" style="146" customWidth="1"/>
    <col min="32" max="66" width="9.33203125" style="146" customWidth="1"/>
    <col min="67" max="16384" width="9.33203125" style="146"/>
  </cols>
  <sheetData>
    <row r="2" spans="1:46" ht="36.950000000000003" customHeight="1" x14ac:dyDescent="0.2">
      <c r="L2" s="204" t="s">
        <v>2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0" t="s">
        <v>200</v>
      </c>
    </row>
    <row r="3" spans="1:46" ht="6.95" customHeight="1" x14ac:dyDescent="0.2"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AT3" s="10" t="s">
        <v>47</v>
      </c>
    </row>
    <row r="4" spans="1:46" ht="24.95" customHeight="1" x14ac:dyDescent="0.2">
      <c r="B4" s="13"/>
      <c r="D4" s="14" t="s">
        <v>49</v>
      </c>
      <c r="L4" s="13"/>
      <c r="M4" s="36" t="s">
        <v>5</v>
      </c>
      <c r="AT4" s="10" t="s">
        <v>1</v>
      </c>
    </row>
    <row r="5" spans="1:46" ht="6.95" customHeight="1" x14ac:dyDescent="0.2">
      <c r="B5" s="13"/>
      <c r="L5" s="13"/>
    </row>
    <row r="6" spans="1:46" ht="12" customHeight="1" x14ac:dyDescent="0.2">
      <c r="B6" s="13"/>
      <c r="D6" s="154" t="s">
        <v>6</v>
      </c>
      <c r="L6" s="13"/>
    </row>
    <row r="7" spans="1:46" ht="16.5" customHeight="1" x14ac:dyDescent="0.2">
      <c r="B7" s="13"/>
      <c r="E7" s="195" t="e">
        <f>#REF!</f>
        <v>#REF!</v>
      </c>
      <c r="F7" s="201"/>
      <c r="G7" s="201"/>
      <c r="H7" s="201"/>
      <c r="L7" s="13"/>
    </row>
    <row r="8" spans="1:46" ht="12.75" x14ac:dyDescent="0.2">
      <c r="B8" s="13"/>
      <c r="D8" s="154" t="s">
        <v>50</v>
      </c>
      <c r="L8" s="13"/>
    </row>
    <row r="9" spans="1:46" ht="16.5" customHeight="1" x14ac:dyDescent="0.2">
      <c r="B9" s="13"/>
      <c r="E9" s="195" t="s">
        <v>51</v>
      </c>
      <c r="F9" s="196"/>
      <c r="G9" s="196"/>
      <c r="H9" s="196"/>
      <c r="L9" s="13"/>
    </row>
    <row r="10" spans="1:46" ht="12" customHeight="1" x14ac:dyDescent="0.2">
      <c r="B10" s="13"/>
      <c r="D10" s="154" t="s">
        <v>52</v>
      </c>
      <c r="L10" s="13"/>
    </row>
    <row r="11" spans="1:46" s="1" customFormat="1" ht="16.5" customHeight="1" x14ac:dyDescent="0.2">
      <c r="A11" s="156"/>
      <c r="B11" s="16"/>
      <c r="C11" s="156"/>
      <c r="D11" s="156"/>
      <c r="E11" s="197" t="s">
        <v>201</v>
      </c>
      <c r="F11" s="198"/>
      <c r="G11" s="198"/>
      <c r="H11" s="198"/>
      <c r="I11" s="156"/>
      <c r="J11" s="156"/>
      <c r="K11" s="156"/>
      <c r="L11" s="17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</row>
    <row r="12" spans="1:46" s="1" customFormat="1" ht="12" customHeight="1" x14ac:dyDescent="0.2">
      <c r="A12" s="156"/>
      <c r="B12" s="16"/>
      <c r="C12" s="156"/>
      <c r="D12" s="154" t="s">
        <v>202</v>
      </c>
      <c r="E12" s="156"/>
      <c r="F12" s="156"/>
      <c r="G12" s="156"/>
      <c r="H12" s="156"/>
      <c r="I12" s="156"/>
      <c r="J12" s="156"/>
      <c r="K12" s="156"/>
      <c r="L12" s="17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</row>
    <row r="13" spans="1:46" s="1" customFormat="1" ht="16.5" customHeight="1" x14ac:dyDescent="0.2">
      <c r="A13" s="156"/>
      <c r="B13" s="16"/>
      <c r="C13" s="156"/>
      <c r="D13" s="156"/>
      <c r="E13" s="199" t="s">
        <v>537</v>
      </c>
      <c r="F13" s="198"/>
      <c r="G13" s="198"/>
      <c r="H13" s="198"/>
      <c r="I13" s="156"/>
      <c r="J13" s="156"/>
      <c r="K13" s="156"/>
      <c r="L13" s="17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</row>
    <row r="14" spans="1:46" s="1" customFormat="1" x14ac:dyDescent="0.2">
      <c r="A14" s="156"/>
      <c r="B14" s="16"/>
      <c r="C14" s="156"/>
      <c r="D14" s="156"/>
      <c r="E14" s="156"/>
      <c r="F14" s="156"/>
      <c r="G14" s="156"/>
      <c r="H14" s="156"/>
      <c r="I14" s="156"/>
      <c r="J14" s="156"/>
      <c r="K14" s="156"/>
      <c r="L14" s="17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</row>
    <row r="15" spans="1:46" s="1" customFormat="1" ht="12" customHeight="1" x14ac:dyDescent="0.2">
      <c r="A15" s="156"/>
      <c r="B15" s="16"/>
      <c r="C15" s="156"/>
      <c r="D15" s="154" t="s">
        <v>7</v>
      </c>
      <c r="E15" s="156"/>
      <c r="F15" s="147" t="s">
        <v>0</v>
      </c>
      <c r="G15" s="156"/>
      <c r="H15" s="156"/>
      <c r="I15" s="154" t="s">
        <v>8</v>
      </c>
      <c r="J15" s="147" t="s">
        <v>203</v>
      </c>
      <c r="K15" s="156"/>
      <c r="L15" s="17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</row>
    <row r="16" spans="1:46" s="1" customFormat="1" ht="12" customHeight="1" x14ac:dyDescent="0.2">
      <c r="A16" s="156"/>
      <c r="B16" s="16"/>
      <c r="C16" s="156"/>
      <c r="D16" s="154" t="s">
        <v>9</v>
      </c>
      <c r="E16" s="156"/>
      <c r="F16" s="147" t="s">
        <v>10</v>
      </c>
      <c r="G16" s="156"/>
      <c r="H16" s="156"/>
      <c r="I16" s="154" t="s">
        <v>11</v>
      </c>
      <c r="J16" s="153" t="e">
        <f>#REF!</f>
        <v>#REF!</v>
      </c>
      <c r="K16" s="156"/>
      <c r="L16" s="17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</row>
    <row r="17" spans="1:31" s="1" customFormat="1" ht="21.75" customHeight="1" x14ac:dyDescent="0.2">
      <c r="A17" s="156"/>
      <c r="B17" s="16"/>
      <c r="C17" s="156"/>
      <c r="D17" s="15" t="s">
        <v>204</v>
      </c>
      <c r="E17" s="156"/>
      <c r="F17" s="166" t="s">
        <v>205</v>
      </c>
      <c r="G17" s="156"/>
      <c r="H17" s="156"/>
      <c r="I17" s="156"/>
      <c r="J17" s="156"/>
      <c r="K17" s="156"/>
      <c r="L17" s="17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</row>
    <row r="18" spans="1:31" s="1" customFormat="1" ht="12" customHeight="1" x14ac:dyDescent="0.2">
      <c r="A18" s="156"/>
      <c r="B18" s="16"/>
      <c r="C18" s="156"/>
      <c r="D18" s="154" t="s">
        <v>12</v>
      </c>
      <c r="E18" s="156"/>
      <c r="F18" s="156"/>
      <c r="G18" s="156"/>
      <c r="H18" s="156"/>
      <c r="I18" s="154" t="s">
        <v>13</v>
      </c>
      <c r="J18" s="147" t="s">
        <v>0</v>
      </c>
      <c r="K18" s="156"/>
      <c r="L18" s="17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</row>
    <row r="19" spans="1:31" s="1" customFormat="1" ht="18" customHeight="1" x14ac:dyDescent="0.2">
      <c r="A19" s="156"/>
      <c r="B19" s="16"/>
      <c r="C19" s="156"/>
      <c r="D19" s="156"/>
      <c r="E19" s="147" t="s">
        <v>14</v>
      </c>
      <c r="F19" s="156"/>
      <c r="G19" s="156"/>
      <c r="H19" s="156"/>
      <c r="I19" s="154" t="s">
        <v>15</v>
      </c>
      <c r="J19" s="147" t="s">
        <v>0</v>
      </c>
      <c r="K19" s="156"/>
      <c r="L19" s="17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</row>
    <row r="20" spans="1:31" s="1" customFormat="1" ht="6.95" customHeight="1" x14ac:dyDescent="0.2">
      <c r="A20" s="156"/>
      <c r="B20" s="16"/>
      <c r="C20" s="156"/>
      <c r="D20" s="156"/>
      <c r="E20" s="156"/>
      <c r="F20" s="156"/>
      <c r="G20" s="156"/>
      <c r="H20" s="156"/>
      <c r="I20" s="156"/>
      <c r="J20" s="156"/>
      <c r="K20" s="156"/>
      <c r="L20" s="17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</row>
    <row r="21" spans="1:31" s="1" customFormat="1" ht="12" customHeight="1" x14ac:dyDescent="0.2">
      <c r="A21" s="156"/>
      <c r="B21" s="16"/>
      <c r="C21" s="156"/>
      <c r="D21" s="154" t="s">
        <v>16</v>
      </c>
      <c r="E21" s="156"/>
      <c r="F21" s="156"/>
      <c r="G21" s="156"/>
      <c r="H21" s="156"/>
      <c r="I21" s="154" t="s">
        <v>13</v>
      </c>
      <c r="J21" s="157" t="e">
        <f>#REF!</f>
        <v>#REF!</v>
      </c>
      <c r="K21" s="156"/>
      <c r="L21" s="17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</row>
    <row r="22" spans="1:31" s="1" customFormat="1" ht="18" customHeight="1" x14ac:dyDescent="0.2">
      <c r="A22" s="156"/>
      <c r="B22" s="16"/>
      <c r="C22" s="156"/>
      <c r="D22" s="156"/>
      <c r="E22" s="202" t="e">
        <f>#REF!</f>
        <v>#REF!</v>
      </c>
      <c r="F22" s="203"/>
      <c r="G22" s="203"/>
      <c r="H22" s="203"/>
      <c r="I22" s="154" t="s">
        <v>15</v>
      </c>
      <c r="J22" s="157" t="e">
        <f>#REF!</f>
        <v>#REF!</v>
      </c>
      <c r="K22" s="156"/>
      <c r="L22" s="17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</row>
    <row r="23" spans="1:31" s="1" customFormat="1" ht="6.95" customHeight="1" x14ac:dyDescent="0.2">
      <c r="A23" s="156"/>
      <c r="B23" s="16"/>
      <c r="C23" s="156"/>
      <c r="D23" s="156"/>
      <c r="E23" s="156"/>
      <c r="F23" s="156"/>
      <c r="G23" s="156"/>
      <c r="H23" s="156"/>
      <c r="I23" s="156"/>
      <c r="J23" s="156"/>
      <c r="K23" s="156"/>
      <c r="L23" s="17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</row>
    <row r="24" spans="1:31" s="1" customFormat="1" ht="12" customHeight="1" x14ac:dyDescent="0.2">
      <c r="A24" s="156"/>
      <c r="B24" s="16"/>
      <c r="C24" s="156"/>
      <c r="D24" s="154" t="s">
        <v>17</v>
      </c>
      <c r="E24" s="156"/>
      <c r="F24" s="156"/>
      <c r="G24" s="156"/>
      <c r="H24" s="156"/>
      <c r="I24" s="154" t="s">
        <v>13</v>
      </c>
      <c r="J24" s="147" t="s">
        <v>0</v>
      </c>
      <c r="K24" s="156"/>
      <c r="L24" s="17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</row>
    <row r="25" spans="1:31" s="1" customFormat="1" ht="18" customHeight="1" x14ac:dyDescent="0.2">
      <c r="A25" s="156"/>
      <c r="B25" s="16"/>
      <c r="C25" s="156"/>
      <c r="D25" s="156"/>
      <c r="E25" s="147" t="s">
        <v>18</v>
      </c>
      <c r="F25" s="156"/>
      <c r="G25" s="156"/>
      <c r="H25" s="156"/>
      <c r="I25" s="154" t="s">
        <v>15</v>
      </c>
      <c r="J25" s="147" t="s">
        <v>0</v>
      </c>
      <c r="K25" s="156"/>
      <c r="L25" s="17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</row>
    <row r="26" spans="1:31" s="1" customFormat="1" ht="6.95" customHeight="1" x14ac:dyDescent="0.2">
      <c r="A26" s="156"/>
      <c r="B26" s="16"/>
      <c r="C26" s="156"/>
      <c r="D26" s="156"/>
      <c r="E26" s="156"/>
      <c r="F26" s="156"/>
      <c r="G26" s="156"/>
      <c r="H26" s="156"/>
      <c r="I26" s="156"/>
      <c r="J26" s="156"/>
      <c r="K26" s="156"/>
      <c r="L26" s="17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</row>
    <row r="27" spans="1:31" s="1" customFormat="1" ht="12" customHeight="1" x14ac:dyDescent="0.2">
      <c r="A27" s="156"/>
      <c r="B27" s="16"/>
      <c r="C27" s="156"/>
      <c r="D27" s="154" t="s">
        <v>20</v>
      </c>
      <c r="E27" s="156"/>
      <c r="F27" s="156"/>
      <c r="G27" s="156"/>
      <c r="H27" s="156"/>
      <c r="I27" s="154" t="s">
        <v>13</v>
      </c>
      <c r="J27" s="147" t="e">
        <f>IF(#REF!="","",#REF!)</f>
        <v>#REF!</v>
      </c>
      <c r="K27" s="156"/>
      <c r="L27" s="17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pans="1:31" s="1" customFormat="1" ht="18" customHeight="1" x14ac:dyDescent="0.2">
      <c r="A28" s="156"/>
      <c r="B28" s="16"/>
      <c r="C28" s="156"/>
      <c r="D28" s="156"/>
      <c r="E28" s="147" t="e">
        <f>IF(#REF!="","",#REF!)</f>
        <v>#REF!</v>
      </c>
      <c r="F28" s="156"/>
      <c r="G28" s="156"/>
      <c r="H28" s="156"/>
      <c r="I28" s="154" t="s">
        <v>15</v>
      </c>
      <c r="J28" s="147" t="e">
        <f>IF(#REF!="","",#REF!)</f>
        <v>#REF!</v>
      </c>
      <c r="K28" s="156"/>
      <c r="L28" s="17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</row>
    <row r="29" spans="1:31" s="1" customFormat="1" ht="6.95" customHeight="1" x14ac:dyDescent="0.2">
      <c r="A29" s="156"/>
      <c r="B29" s="16"/>
      <c r="C29" s="156"/>
      <c r="D29" s="156"/>
      <c r="E29" s="156"/>
      <c r="F29" s="156"/>
      <c r="G29" s="156"/>
      <c r="H29" s="156"/>
      <c r="I29" s="156"/>
      <c r="J29" s="156"/>
      <c r="K29" s="156"/>
      <c r="L29" s="17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pans="1:31" s="1" customFormat="1" ht="12" customHeight="1" x14ac:dyDescent="0.2">
      <c r="A30" s="156"/>
      <c r="B30" s="16"/>
      <c r="C30" s="156"/>
      <c r="D30" s="154" t="s">
        <v>21</v>
      </c>
      <c r="E30" s="156"/>
      <c r="F30" s="156"/>
      <c r="G30" s="156"/>
      <c r="H30" s="156"/>
      <c r="I30" s="156"/>
      <c r="J30" s="156"/>
      <c r="K30" s="156"/>
      <c r="L30" s="17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</row>
    <row r="31" spans="1:31" s="2" customFormat="1" ht="16.5" customHeight="1" x14ac:dyDescent="0.2">
      <c r="A31" s="37"/>
      <c r="B31" s="38"/>
      <c r="C31" s="37"/>
      <c r="D31" s="37"/>
      <c r="E31" s="200" t="s">
        <v>0</v>
      </c>
      <c r="F31" s="200"/>
      <c r="G31" s="200"/>
      <c r="H31" s="200"/>
      <c r="I31" s="37"/>
      <c r="J31" s="37"/>
      <c r="K31" s="37"/>
      <c r="L31" s="3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1" customFormat="1" ht="6.95" customHeight="1" x14ac:dyDescent="0.2">
      <c r="A32" s="156"/>
      <c r="B32" s="16"/>
      <c r="C32" s="156"/>
      <c r="D32" s="156"/>
      <c r="E32" s="156"/>
      <c r="F32" s="156"/>
      <c r="G32" s="156"/>
      <c r="H32" s="156"/>
      <c r="I32" s="156"/>
      <c r="J32" s="156"/>
      <c r="K32" s="156"/>
      <c r="L32" s="17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</row>
    <row r="33" spans="1:31" s="1" customFormat="1" ht="6.95" customHeight="1" x14ac:dyDescent="0.2">
      <c r="A33" s="156"/>
      <c r="B33" s="16"/>
      <c r="C33" s="156"/>
      <c r="D33" s="34"/>
      <c r="E33" s="34"/>
      <c r="F33" s="34"/>
      <c r="G33" s="34"/>
      <c r="H33" s="34"/>
      <c r="I33" s="34"/>
      <c r="J33" s="34"/>
      <c r="K33" s="34"/>
      <c r="L33" s="17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</row>
    <row r="34" spans="1:31" s="1" customFormat="1" ht="25.35" customHeight="1" x14ac:dyDescent="0.2">
      <c r="A34" s="156"/>
      <c r="B34" s="16"/>
      <c r="C34" s="156"/>
      <c r="D34" s="40" t="s">
        <v>22</v>
      </c>
      <c r="E34" s="156"/>
      <c r="F34" s="156"/>
      <c r="G34" s="156"/>
      <c r="H34" s="156"/>
      <c r="I34" s="156"/>
      <c r="J34" s="152">
        <f>ROUND(J132, 2)</f>
        <v>43878.48</v>
      </c>
      <c r="K34" s="156"/>
      <c r="L34" s="17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</row>
    <row r="35" spans="1:31" s="1" customFormat="1" ht="6.95" customHeight="1" x14ac:dyDescent="0.2">
      <c r="A35" s="156"/>
      <c r="B35" s="16"/>
      <c r="C35" s="156"/>
      <c r="D35" s="34"/>
      <c r="E35" s="34"/>
      <c r="F35" s="34"/>
      <c r="G35" s="34"/>
      <c r="H35" s="34"/>
      <c r="I35" s="34"/>
      <c r="J35" s="34"/>
      <c r="K35" s="34"/>
      <c r="L35" s="17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</row>
    <row r="36" spans="1:31" s="1" customFormat="1" ht="14.45" customHeight="1" x14ac:dyDescent="0.2">
      <c r="A36" s="156"/>
      <c r="B36" s="16"/>
      <c r="C36" s="156"/>
      <c r="D36" s="156"/>
      <c r="E36" s="156"/>
      <c r="F36" s="150" t="s">
        <v>24</v>
      </c>
      <c r="G36" s="156"/>
      <c r="H36" s="156"/>
      <c r="I36" s="150" t="s">
        <v>23</v>
      </c>
      <c r="J36" s="150" t="s">
        <v>25</v>
      </c>
      <c r="K36" s="156"/>
      <c r="L36" s="17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</row>
    <row r="37" spans="1:31" s="1" customFormat="1" ht="14.45" customHeight="1" x14ac:dyDescent="0.2">
      <c r="A37" s="156"/>
      <c r="B37" s="16"/>
      <c r="C37" s="156"/>
      <c r="D37" s="155" t="s">
        <v>26</v>
      </c>
      <c r="E37" s="154" t="s">
        <v>27</v>
      </c>
      <c r="F37" s="41">
        <f>ROUND((SUM(BE132:BE306)),  2)</f>
        <v>43878.48</v>
      </c>
      <c r="G37" s="156"/>
      <c r="H37" s="156"/>
      <c r="I37" s="42">
        <v>0.21</v>
      </c>
      <c r="J37" s="41">
        <f>ROUND(((SUM(BE132:BE306))*I37),  2)</f>
        <v>9214.48</v>
      </c>
      <c r="K37" s="156"/>
      <c r="L37" s="17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</row>
    <row r="38" spans="1:31" s="1" customFormat="1" ht="14.45" customHeight="1" x14ac:dyDescent="0.2">
      <c r="A38" s="156"/>
      <c r="B38" s="16"/>
      <c r="C38" s="156"/>
      <c r="D38" s="156"/>
      <c r="E38" s="154" t="s">
        <v>28</v>
      </c>
      <c r="F38" s="41">
        <f>ROUND((SUM(BF132:BF306)),  2)</f>
        <v>0</v>
      </c>
      <c r="G38" s="156"/>
      <c r="H38" s="156"/>
      <c r="I38" s="42">
        <v>0.15</v>
      </c>
      <c r="J38" s="41">
        <f>ROUND(((SUM(BF132:BF306))*I38),  2)</f>
        <v>0</v>
      </c>
      <c r="K38" s="156"/>
      <c r="L38" s="17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</row>
    <row r="39" spans="1:31" s="1" customFormat="1" ht="14.45" hidden="1" customHeight="1" x14ac:dyDescent="0.2">
      <c r="A39" s="156"/>
      <c r="B39" s="16"/>
      <c r="C39" s="156"/>
      <c r="D39" s="156"/>
      <c r="E39" s="154" t="s">
        <v>29</v>
      </c>
      <c r="F39" s="41">
        <f>ROUND((SUM(BG132:BG306)),  2)</f>
        <v>0</v>
      </c>
      <c r="G39" s="156"/>
      <c r="H39" s="156"/>
      <c r="I39" s="42">
        <v>0.21</v>
      </c>
      <c r="J39" s="41">
        <f>0</f>
        <v>0</v>
      </c>
      <c r="K39" s="156"/>
      <c r="L39" s="17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</row>
    <row r="40" spans="1:31" s="1" customFormat="1" ht="14.45" hidden="1" customHeight="1" x14ac:dyDescent="0.2">
      <c r="A40" s="156"/>
      <c r="B40" s="16"/>
      <c r="C40" s="156"/>
      <c r="D40" s="156"/>
      <c r="E40" s="154" t="s">
        <v>30</v>
      </c>
      <c r="F40" s="41">
        <f>ROUND((SUM(BH132:BH306)),  2)</f>
        <v>0</v>
      </c>
      <c r="G40" s="156"/>
      <c r="H40" s="156"/>
      <c r="I40" s="42">
        <v>0.15</v>
      </c>
      <c r="J40" s="41">
        <f>0</f>
        <v>0</v>
      </c>
      <c r="K40" s="156"/>
      <c r="L40" s="17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</row>
    <row r="41" spans="1:31" s="1" customFormat="1" ht="14.45" hidden="1" customHeight="1" x14ac:dyDescent="0.2">
      <c r="A41" s="156"/>
      <c r="B41" s="16"/>
      <c r="C41" s="156"/>
      <c r="D41" s="156"/>
      <c r="E41" s="154" t="s">
        <v>31</v>
      </c>
      <c r="F41" s="41">
        <f>ROUND((SUM(BI132:BI306)),  2)</f>
        <v>0</v>
      </c>
      <c r="G41" s="156"/>
      <c r="H41" s="156"/>
      <c r="I41" s="42">
        <v>0</v>
      </c>
      <c r="J41" s="41">
        <f>0</f>
        <v>0</v>
      </c>
      <c r="K41" s="156"/>
      <c r="L41" s="17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</row>
    <row r="42" spans="1:31" s="1" customFormat="1" ht="6.95" customHeight="1" x14ac:dyDescent="0.2">
      <c r="A42" s="156"/>
      <c r="B42" s="16"/>
      <c r="C42" s="156"/>
      <c r="D42" s="156"/>
      <c r="E42" s="156"/>
      <c r="F42" s="156"/>
      <c r="G42" s="156"/>
      <c r="H42" s="156"/>
      <c r="I42" s="156"/>
      <c r="J42" s="156"/>
      <c r="K42" s="156"/>
      <c r="L42" s="17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</row>
    <row r="43" spans="1:31" s="1" customFormat="1" ht="25.35" customHeight="1" x14ac:dyDescent="0.2">
      <c r="A43" s="156"/>
      <c r="B43" s="16"/>
      <c r="C43" s="43"/>
      <c r="D43" s="44" t="s">
        <v>32</v>
      </c>
      <c r="E43" s="29"/>
      <c r="F43" s="29"/>
      <c r="G43" s="45" t="s">
        <v>33</v>
      </c>
      <c r="H43" s="46" t="s">
        <v>34</v>
      </c>
      <c r="I43" s="29"/>
      <c r="J43" s="47">
        <f>SUM(J34:J41)</f>
        <v>53092.960000000006</v>
      </c>
      <c r="K43" s="48"/>
      <c r="L43" s="17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</row>
    <row r="44" spans="1:31" s="1" customFormat="1" ht="14.45" customHeight="1" x14ac:dyDescent="0.2">
      <c r="A44" s="156"/>
      <c r="B44" s="16"/>
      <c r="C44" s="156"/>
      <c r="D44" s="156"/>
      <c r="E44" s="156"/>
      <c r="F44" s="156"/>
      <c r="G44" s="156"/>
      <c r="H44" s="156"/>
      <c r="I44" s="156"/>
      <c r="J44" s="156"/>
      <c r="K44" s="156"/>
      <c r="L44" s="17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</row>
    <row r="45" spans="1:31" ht="14.45" customHeight="1" x14ac:dyDescent="0.2">
      <c r="B45" s="13"/>
      <c r="L45" s="13"/>
    </row>
    <row r="46" spans="1:31" ht="14.45" customHeight="1" x14ac:dyDescent="0.2">
      <c r="B46" s="13"/>
      <c r="L46" s="13"/>
    </row>
    <row r="47" spans="1:31" ht="14.45" customHeight="1" x14ac:dyDescent="0.2">
      <c r="B47" s="13"/>
      <c r="L47" s="13"/>
    </row>
    <row r="48" spans="1:31" ht="14.45" customHeight="1" x14ac:dyDescent="0.2">
      <c r="B48" s="13"/>
      <c r="L48" s="13"/>
    </row>
    <row r="49" spans="1:31" s="1" customFormat="1" ht="14.45" customHeight="1" x14ac:dyDescent="0.2">
      <c r="B49" s="17"/>
      <c r="D49" s="18" t="s">
        <v>35</v>
      </c>
      <c r="E49" s="19"/>
      <c r="F49" s="19"/>
      <c r="G49" s="18" t="s">
        <v>36</v>
      </c>
      <c r="H49" s="19"/>
      <c r="I49" s="19"/>
      <c r="J49" s="19"/>
      <c r="K49" s="19"/>
      <c r="L49" s="17"/>
    </row>
    <row r="50" spans="1:31" x14ac:dyDescent="0.2">
      <c r="B50" s="13"/>
      <c r="L50" s="13"/>
    </row>
    <row r="51" spans="1:31" x14ac:dyDescent="0.2">
      <c r="B51" s="13"/>
      <c r="L51" s="13"/>
    </row>
    <row r="52" spans="1:31" x14ac:dyDescent="0.2">
      <c r="B52" s="13"/>
      <c r="L52" s="13"/>
    </row>
    <row r="53" spans="1:31" x14ac:dyDescent="0.2">
      <c r="B53" s="13"/>
      <c r="L53" s="13"/>
    </row>
    <row r="54" spans="1:31" x14ac:dyDescent="0.2">
      <c r="B54" s="13"/>
      <c r="L54" s="13"/>
    </row>
    <row r="55" spans="1:31" x14ac:dyDescent="0.2">
      <c r="B55" s="13"/>
      <c r="L55" s="13"/>
    </row>
    <row r="56" spans="1:31" x14ac:dyDescent="0.2">
      <c r="B56" s="13"/>
      <c r="L56" s="13"/>
    </row>
    <row r="57" spans="1:31" x14ac:dyDescent="0.2">
      <c r="B57" s="13"/>
      <c r="L57" s="13"/>
    </row>
    <row r="58" spans="1:31" x14ac:dyDescent="0.2">
      <c r="B58" s="13"/>
      <c r="L58" s="13"/>
    </row>
    <row r="59" spans="1:31" x14ac:dyDescent="0.2">
      <c r="B59" s="13"/>
      <c r="L59" s="13"/>
    </row>
    <row r="60" spans="1:31" s="1" customFormat="1" ht="12.75" x14ac:dyDescent="0.2">
      <c r="A60" s="156"/>
      <c r="B60" s="16"/>
      <c r="C60" s="156"/>
      <c r="D60" s="20" t="s">
        <v>37</v>
      </c>
      <c r="E60" s="149"/>
      <c r="F60" s="49" t="s">
        <v>38</v>
      </c>
      <c r="G60" s="20" t="s">
        <v>37</v>
      </c>
      <c r="H60" s="149"/>
      <c r="I60" s="149"/>
      <c r="J60" s="50" t="s">
        <v>38</v>
      </c>
      <c r="K60" s="149"/>
      <c r="L60" s="17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</row>
    <row r="61" spans="1:31" x14ac:dyDescent="0.2">
      <c r="B61" s="13"/>
      <c r="L61" s="13"/>
    </row>
    <row r="62" spans="1:31" x14ac:dyDescent="0.2">
      <c r="B62" s="13"/>
      <c r="L62" s="13"/>
    </row>
    <row r="63" spans="1:31" x14ac:dyDescent="0.2">
      <c r="B63" s="13"/>
      <c r="L63" s="13"/>
    </row>
    <row r="64" spans="1:31" s="1" customFormat="1" ht="12.75" x14ac:dyDescent="0.2">
      <c r="A64" s="156"/>
      <c r="B64" s="16"/>
      <c r="C64" s="156"/>
      <c r="D64" s="18" t="s">
        <v>39</v>
      </c>
      <c r="E64" s="21"/>
      <c r="F64" s="21"/>
      <c r="G64" s="18" t="s">
        <v>40</v>
      </c>
      <c r="H64" s="21"/>
      <c r="I64" s="21"/>
      <c r="J64" s="21"/>
      <c r="K64" s="21"/>
      <c r="L64" s="17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</row>
    <row r="65" spans="1:31" x14ac:dyDescent="0.2">
      <c r="B65" s="13"/>
      <c r="L65" s="13"/>
    </row>
    <row r="66" spans="1:31" x14ac:dyDescent="0.2">
      <c r="B66" s="13"/>
      <c r="L66" s="13"/>
    </row>
    <row r="67" spans="1:31" x14ac:dyDescent="0.2">
      <c r="B67" s="13"/>
      <c r="L67" s="13"/>
    </row>
    <row r="68" spans="1:31" x14ac:dyDescent="0.2">
      <c r="B68" s="13"/>
      <c r="L68" s="13"/>
    </row>
    <row r="69" spans="1:31" x14ac:dyDescent="0.2">
      <c r="B69" s="13"/>
      <c r="L69" s="13"/>
    </row>
    <row r="70" spans="1:31" x14ac:dyDescent="0.2">
      <c r="B70" s="13"/>
      <c r="L70" s="13"/>
    </row>
    <row r="71" spans="1:31" x14ac:dyDescent="0.2">
      <c r="B71" s="13"/>
      <c r="L71" s="13"/>
    </row>
    <row r="72" spans="1:31" x14ac:dyDescent="0.2">
      <c r="B72" s="13"/>
      <c r="L72" s="13"/>
    </row>
    <row r="73" spans="1:31" x14ac:dyDescent="0.2">
      <c r="B73" s="13"/>
      <c r="L73" s="13"/>
    </row>
    <row r="74" spans="1:31" x14ac:dyDescent="0.2">
      <c r="B74" s="13"/>
      <c r="L74" s="13"/>
    </row>
    <row r="75" spans="1:31" s="1" customFormat="1" ht="12.75" x14ac:dyDescent="0.2">
      <c r="A75" s="156"/>
      <c r="B75" s="16"/>
      <c r="C75" s="156"/>
      <c r="D75" s="20" t="s">
        <v>37</v>
      </c>
      <c r="E75" s="149"/>
      <c r="F75" s="49" t="s">
        <v>38</v>
      </c>
      <c r="G75" s="20" t="s">
        <v>37</v>
      </c>
      <c r="H75" s="149"/>
      <c r="I75" s="149"/>
      <c r="J75" s="50" t="s">
        <v>38</v>
      </c>
      <c r="K75" s="149"/>
      <c r="L75" s="17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</row>
    <row r="76" spans="1:31" s="1" customFormat="1" ht="14.45" customHeight="1" x14ac:dyDescent="0.2">
      <c r="A76" s="156"/>
      <c r="B76" s="22"/>
      <c r="C76" s="23"/>
      <c r="D76" s="23"/>
      <c r="E76" s="23"/>
      <c r="F76" s="23"/>
      <c r="G76" s="23"/>
      <c r="H76" s="23"/>
      <c r="I76" s="23"/>
      <c r="J76" s="23"/>
      <c r="K76" s="23"/>
      <c r="L76" s="17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</row>
    <row r="80" spans="1:31" s="1" customFormat="1" ht="6.95" customHeight="1" x14ac:dyDescent="0.2">
      <c r="A80" s="156"/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17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  <c r="AD80" s="156"/>
      <c r="AE80" s="156"/>
    </row>
    <row r="81" spans="1:31" s="1" customFormat="1" ht="24.95" customHeight="1" x14ac:dyDescent="0.2">
      <c r="A81" s="156"/>
      <c r="B81" s="16"/>
      <c r="C81" s="14" t="s">
        <v>53</v>
      </c>
      <c r="D81" s="156"/>
      <c r="E81" s="156"/>
      <c r="F81" s="156"/>
      <c r="G81" s="156"/>
      <c r="H81" s="156"/>
      <c r="I81" s="156"/>
      <c r="J81" s="156"/>
      <c r="K81" s="156"/>
      <c r="L81" s="17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</row>
    <row r="82" spans="1:31" s="1" customFormat="1" ht="6.95" customHeight="1" x14ac:dyDescent="0.2">
      <c r="A82" s="156"/>
      <c r="B82" s="16"/>
      <c r="C82" s="156"/>
      <c r="D82" s="156"/>
      <c r="E82" s="156"/>
      <c r="F82" s="156"/>
      <c r="G82" s="156"/>
      <c r="H82" s="156"/>
      <c r="I82" s="156"/>
      <c r="J82" s="156"/>
      <c r="K82" s="156"/>
      <c r="L82" s="17"/>
      <c r="S82" s="156"/>
      <c r="T82" s="156"/>
      <c r="U82" s="156"/>
      <c r="V82" s="156"/>
      <c r="W82" s="156"/>
      <c r="X82" s="156"/>
      <c r="Y82" s="156"/>
      <c r="Z82" s="156"/>
      <c r="AA82" s="156"/>
      <c r="AB82" s="156"/>
      <c r="AC82" s="156"/>
      <c r="AD82" s="156"/>
      <c r="AE82" s="156"/>
    </row>
    <row r="83" spans="1:31" s="1" customFormat="1" ht="12" customHeight="1" x14ac:dyDescent="0.2">
      <c r="A83" s="156"/>
      <c r="B83" s="16"/>
      <c r="C83" s="154" t="s">
        <v>6</v>
      </c>
      <c r="D83" s="156"/>
      <c r="E83" s="156"/>
      <c r="F83" s="156"/>
      <c r="G83" s="156"/>
      <c r="H83" s="156"/>
      <c r="I83" s="156"/>
      <c r="J83" s="156"/>
      <c r="K83" s="156"/>
      <c r="L83" s="17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</row>
    <row r="84" spans="1:31" s="1" customFormat="1" ht="16.5" customHeight="1" x14ac:dyDescent="0.2">
      <c r="A84" s="156"/>
      <c r="B84" s="16"/>
      <c r="C84" s="156"/>
      <c r="D84" s="156"/>
      <c r="E84" s="195" t="e">
        <f>E7</f>
        <v>#REF!</v>
      </c>
      <c r="F84" s="201"/>
      <c r="G84" s="201"/>
      <c r="H84" s="201"/>
      <c r="I84" s="156"/>
      <c r="J84" s="156"/>
      <c r="K84" s="156"/>
      <c r="L84" s="17"/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</row>
    <row r="85" spans="1:31" ht="12" customHeight="1" x14ac:dyDescent="0.2">
      <c r="B85" s="13"/>
      <c r="C85" s="154" t="s">
        <v>50</v>
      </c>
      <c r="L85" s="13"/>
    </row>
    <row r="86" spans="1:31" ht="16.5" customHeight="1" x14ac:dyDescent="0.2">
      <c r="B86" s="13"/>
      <c r="E86" s="195" t="s">
        <v>51</v>
      </c>
      <c r="F86" s="196"/>
      <c r="G86" s="196"/>
      <c r="H86" s="196"/>
      <c r="L86" s="13"/>
    </row>
    <row r="87" spans="1:31" ht="12" customHeight="1" x14ac:dyDescent="0.2">
      <c r="B87" s="13"/>
      <c r="C87" s="154" t="s">
        <v>52</v>
      </c>
      <c r="L87" s="13"/>
    </row>
    <row r="88" spans="1:31" s="1" customFormat="1" ht="16.5" customHeight="1" x14ac:dyDescent="0.2">
      <c r="A88" s="156"/>
      <c r="B88" s="16"/>
      <c r="C88" s="156"/>
      <c r="D88" s="156"/>
      <c r="E88" s="197" t="s">
        <v>201</v>
      </c>
      <c r="F88" s="198"/>
      <c r="G88" s="198"/>
      <c r="H88" s="198"/>
      <c r="I88" s="156"/>
      <c r="J88" s="156"/>
      <c r="K88" s="156"/>
      <c r="L88" s="17"/>
      <c r="S88" s="156"/>
      <c r="T88" s="156"/>
      <c r="U88" s="156"/>
      <c r="V88" s="156"/>
      <c r="W88" s="156"/>
      <c r="X88" s="156"/>
      <c r="Y88" s="156"/>
      <c r="Z88" s="156"/>
      <c r="AA88" s="156"/>
      <c r="AB88" s="156"/>
      <c r="AC88" s="156"/>
      <c r="AD88" s="156"/>
      <c r="AE88" s="156"/>
    </row>
    <row r="89" spans="1:31" s="1" customFormat="1" ht="12" customHeight="1" x14ac:dyDescent="0.2">
      <c r="A89" s="156"/>
      <c r="B89" s="16"/>
      <c r="C89" s="154" t="s">
        <v>202</v>
      </c>
      <c r="D89" s="156"/>
      <c r="E89" s="156"/>
      <c r="F89" s="156"/>
      <c r="G89" s="156"/>
      <c r="H89" s="156"/>
      <c r="I89" s="156"/>
      <c r="J89" s="156"/>
      <c r="K89" s="156"/>
      <c r="L89" s="17"/>
      <c r="S89" s="156"/>
      <c r="T89" s="156"/>
      <c r="U89" s="156"/>
      <c r="V89" s="156"/>
      <c r="W89" s="156"/>
      <c r="X89" s="156"/>
      <c r="Y89" s="156"/>
      <c r="Z89" s="156"/>
      <c r="AA89" s="156"/>
      <c r="AB89" s="156"/>
      <c r="AC89" s="156"/>
      <c r="AD89" s="156"/>
      <c r="AE89" s="156"/>
    </row>
    <row r="90" spans="1:31" s="1" customFormat="1" ht="16.5" customHeight="1" x14ac:dyDescent="0.2">
      <c r="A90" s="156"/>
      <c r="B90" s="16"/>
      <c r="C90" s="156"/>
      <c r="D90" s="156"/>
      <c r="E90" s="199" t="str">
        <f>E13</f>
        <v>00007 - DSO 01.3.1g Kanalizační odbočení Stoky D3-Od106c(3,25m)</v>
      </c>
      <c r="F90" s="198"/>
      <c r="G90" s="198"/>
      <c r="H90" s="198"/>
      <c r="I90" s="156"/>
      <c r="J90" s="156"/>
      <c r="K90" s="156"/>
      <c r="L90" s="17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</row>
    <row r="91" spans="1:31" s="1" customFormat="1" ht="6.95" customHeight="1" x14ac:dyDescent="0.2">
      <c r="A91" s="156"/>
      <c r="B91" s="16"/>
      <c r="C91" s="156"/>
      <c r="D91" s="156"/>
      <c r="E91" s="156"/>
      <c r="F91" s="156"/>
      <c r="G91" s="156"/>
      <c r="H91" s="156"/>
      <c r="I91" s="156"/>
      <c r="J91" s="156"/>
      <c r="K91" s="156"/>
      <c r="L91" s="17"/>
      <c r="S91" s="156"/>
      <c r="T91" s="156"/>
      <c r="U91" s="156"/>
      <c r="V91" s="156"/>
      <c r="W91" s="156"/>
      <c r="X91" s="156"/>
      <c r="Y91" s="156"/>
      <c r="Z91" s="156"/>
      <c r="AA91" s="156"/>
      <c r="AB91" s="156"/>
      <c r="AC91" s="156"/>
      <c r="AD91" s="156"/>
      <c r="AE91" s="156"/>
    </row>
    <row r="92" spans="1:31" s="1" customFormat="1" ht="12" customHeight="1" x14ac:dyDescent="0.2">
      <c r="A92" s="156"/>
      <c r="B92" s="16"/>
      <c r="C92" s="154" t="s">
        <v>9</v>
      </c>
      <c r="D92" s="156"/>
      <c r="E92" s="156"/>
      <c r="F92" s="147" t="str">
        <f>F16</f>
        <v xml:space="preserve"> </v>
      </c>
      <c r="G92" s="156"/>
      <c r="H92" s="156"/>
      <c r="I92" s="154" t="s">
        <v>11</v>
      </c>
      <c r="J92" s="153" t="e">
        <f>IF(J16="","",J16)</f>
        <v>#REF!</v>
      </c>
      <c r="K92" s="156"/>
      <c r="L92" s="17"/>
      <c r="S92" s="156"/>
      <c r="T92" s="156"/>
      <c r="U92" s="156"/>
      <c r="V92" s="156"/>
      <c r="W92" s="156"/>
      <c r="X92" s="156"/>
      <c r="Y92" s="156"/>
      <c r="Z92" s="156"/>
      <c r="AA92" s="156"/>
      <c r="AB92" s="156"/>
      <c r="AC92" s="156"/>
      <c r="AD92" s="156"/>
      <c r="AE92" s="156"/>
    </row>
    <row r="93" spans="1:31" s="1" customFormat="1" ht="6.95" customHeight="1" x14ac:dyDescent="0.2">
      <c r="A93" s="156"/>
      <c r="B93" s="16"/>
      <c r="C93" s="156"/>
      <c r="D93" s="156"/>
      <c r="E93" s="156"/>
      <c r="F93" s="156"/>
      <c r="G93" s="156"/>
      <c r="H93" s="156"/>
      <c r="I93" s="156"/>
      <c r="J93" s="156"/>
      <c r="K93" s="156"/>
      <c r="L93" s="17"/>
      <c r="S93" s="156"/>
      <c r="T93" s="156"/>
      <c r="U93" s="156"/>
      <c r="V93" s="156"/>
      <c r="W93" s="156"/>
      <c r="X93" s="156"/>
      <c r="Y93" s="156"/>
      <c r="Z93" s="156"/>
      <c r="AA93" s="156"/>
      <c r="AB93" s="156"/>
      <c r="AC93" s="156"/>
      <c r="AD93" s="156"/>
      <c r="AE93" s="156"/>
    </row>
    <row r="94" spans="1:31" s="1" customFormat="1" ht="40.15" customHeight="1" x14ac:dyDescent="0.2">
      <c r="A94" s="156"/>
      <c r="B94" s="16"/>
      <c r="C94" s="154" t="s">
        <v>12</v>
      </c>
      <c r="D94" s="156"/>
      <c r="E94" s="156"/>
      <c r="F94" s="147" t="str">
        <f>E19</f>
        <v>Město Petřvald</v>
      </c>
      <c r="G94" s="156"/>
      <c r="H94" s="156"/>
      <c r="I94" s="154" t="s">
        <v>17</v>
      </c>
      <c r="J94" s="148" t="str">
        <f>E25</f>
        <v>Sweco Hydroprojekt a.s., divize Morava</v>
      </c>
      <c r="K94" s="156"/>
      <c r="L94" s="17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</row>
    <row r="95" spans="1:31" s="1" customFormat="1" ht="15.2" customHeight="1" x14ac:dyDescent="0.2">
      <c r="A95" s="156"/>
      <c r="B95" s="16"/>
      <c r="C95" s="154" t="s">
        <v>16</v>
      </c>
      <c r="D95" s="156"/>
      <c r="E95" s="156"/>
      <c r="F95" s="147" t="e">
        <f>IF(E22="","",E22)</f>
        <v>#REF!</v>
      </c>
      <c r="G95" s="156"/>
      <c r="H95" s="156"/>
      <c r="I95" s="154" t="s">
        <v>20</v>
      </c>
      <c r="J95" s="148" t="e">
        <f>E28</f>
        <v>#REF!</v>
      </c>
      <c r="K95" s="156"/>
      <c r="L95" s="17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</row>
    <row r="96" spans="1:31" s="1" customFormat="1" ht="10.35" customHeight="1" x14ac:dyDescent="0.2">
      <c r="A96" s="156"/>
      <c r="B96" s="16"/>
      <c r="C96" s="156"/>
      <c r="D96" s="156"/>
      <c r="E96" s="156"/>
      <c r="F96" s="156"/>
      <c r="G96" s="156"/>
      <c r="H96" s="156"/>
      <c r="I96" s="156"/>
      <c r="J96" s="156"/>
      <c r="K96" s="156"/>
      <c r="L96" s="17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</row>
    <row r="97" spans="1:47" s="1" customFormat="1" ht="29.25" customHeight="1" x14ac:dyDescent="0.2">
      <c r="A97" s="156"/>
      <c r="B97" s="16"/>
      <c r="C97" s="51" t="s">
        <v>54</v>
      </c>
      <c r="D97" s="43"/>
      <c r="E97" s="43"/>
      <c r="F97" s="43"/>
      <c r="G97" s="43"/>
      <c r="H97" s="43"/>
      <c r="I97" s="43"/>
      <c r="J97" s="52" t="s">
        <v>55</v>
      </c>
      <c r="K97" s="43"/>
      <c r="L97" s="17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6"/>
      <c r="AE97" s="156"/>
    </row>
    <row r="98" spans="1:47" s="1" customFormat="1" ht="10.35" customHeight="1" x14ac:dyDescent="0.2">
      <c r="A98" s="156"/>
      <c r="B98" s="16"/>
      <c r="C98" s="156"/>
      <c r="D98" s="156"/>
      <c r="E98" s="156"/>
      <c r="F98" s="156"/>
      <c r="G98" s="156"/>
      <c r="H98" s="156"/>
      <c r="I98" s="156"/>
      <c r="J98" s="156"/>
      <c r="K98" s="156"/>
      <c r="L98" s="17"/>
      <c r="S98" s="156"/>
      <c r="T98" s="156"/>
      <c r="U98" s="156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</row>
    <row r="99" spans="1:47" s="1" customFormat="1" ht="22.9" customHeight="1" x14ac:dyDescent="0.2">
      <c r="A99" s="156"/>
      <c r="B99" s="16"/>
      <c r="C99" s="53" t="s">
        <v>56</v>
      </c>
      <c r="D99" s="156"/>
      <c r="E99" s="156"/>
      <c r="F99" s="156"/>
      <c r="G99" s="156"/>
      <c r="H99" s="156"/>
      <c r="I99" s="156"/>
      <c r="J99" s="152">
        <f>J132</f>
        <v>43878.479999999996</v>
      </c>
      <c r="K99" s="156"/>
      <c r="L99" s="17"/>
      <c r="S99" s="156"/>
      <c r="T99" s="156"/>
      <c r="U99" s="156"/>
      <c r="V99" s="156"/>
      <c r="W99" s="156"/>
      <c r="X99" s="156"/>
      <c r="Y99" s="156"/>
      <c r="Z99" s="156"/>
      <c r="AA99" s="156"/>
      <c r="AB99" s="156"/>
      <c r="AC99" s="156"/>
      <c r="AD99" s="156"/>
      <c r="AE99" s="156"/>
      <c r="AU99" s="10" t="s">
        <v>57</v>
      </c>
    </row>
    <row r="100" spans="1:47" s="3" customFormat="1" ht="24.95" customHeight="1" x14ac:dyDescent="0.2">
      <c r="B100" s="54"/>
      <c r="D100" s="55" t="s">
        <v>58</v>
      </c>
      <c r="E100" s="56"/>
      <c r="F100" s="56"/>
      <c r="G100" s="56"/>
      <c r="H100" s="56"/>
      <c r="I100" s="56"/>
      <c r="J100" s="57">
        <f>J133</f>
        <v>43878.479999999996</v>
      </c>
      <c r="L100" s="54"/>
    </row>
    <row r="101" spans="1:47" s="151" customFormat="1" ht="19.899999999999999" customHeight="1" x14ac:dyDescent="0.2">
      <c r="B101" s="58"/>
      <c r="D101" s="59" t="s">
        <v>59</v>
      </c>
      <c r="E101" s="60"/>
      <c r="F101" s="60"/>
      <c r="G101" s="60"/>
      <c r="H101" s="60"/>
      <c r="I101" s="60"/>
      <c r="J101" s="61">
        <f>J134</f>
        <v>17292.190000000002</v>
      </c>
      <c r="L101" s="58"/>
    </row>
    <row r="102" spans="1:47" s="151" customFormat="1" ht="19.899999999999999" customHeight="1" x14ac:dyDescent="0.2">
      <c r="B102" s="58"/>
      <c r="D102" s="59" t="s">
        <v>206</v>
      </c>
      <c r="E102" s="60"/>
      <c r="F102" s="60"/>
      <c r="G102" s="60"/>
      <c r="H102" s="60"/>
      <c r="I102" s="60"/>
      <c r="J102" s="61">
        <f>J224</f>
        <v>858.22</v>
      </c>
      <c r="L102" s="58"/>
    </row>
    <row r="103" spans="1:47" s="151" customFormat="1" ht="19.899999999999999" customHeight="1" x14ac:dyDescent="0.2">
      <c r="B103" s="58"/>
      <c r="D103" s="59" t="s">
        <v>207</v>
      </c>
      <c r="E103" s="60"/>
      <c r="F103" s="60"/>
      <c r="G103" s="60"/>
      <c r="H103" s="60"/>
      <c r="I103" s="60"/>
      <c r="J103" s="61">
        <f>J227</f>
        <v>799.58999999999992</v>
      </c>
      <c r="L103" s="58"/>
    </row>
    <row r="104" spans="1:47" s="151" customFormat="1" ht="19.899999999999999" customHeight="1" x14ac:dyDescent="0.2">
      <c r="B104" s="58"/>
      <c r="D104" s="59" t="s">
        <v>208</v>
      </c>
      <c r="E104" s="60"/>
      <c r="F104" s="60"/>
      <c r="G104" s="60"/>
      <c r="H104" s="60"/>
      <c r="I104" s="60"/>
      <c r="J104" s="61">
        <f>J242</f>
        <v>2149.06</v>
      </c>
      <c r="L104" s="58"/>
    </row>
    <row r="105" spans="1:47" s="151" customFormat="1" ht="19.899999999999999" customHeight="1" x14ac:dyDescent="0.2">
      <c r="B105" s="58"/>
      <c r="D105" s="59" t="s">
        <v>209</v>
      </c>
      <c r="E105" s="60"/>
      <c r="F105" s="60"/>
      <c r="G105" s="60"/>
      <c r="H105" s="60"/>
      <c r="I105" s="60"/>
      <c r="J105" s="61">
        <f>J252</f>
        <v>21625.94</v>
      </c>
      <c r="L105" s="58"/>
    </row>
    <row r="106" spans="1:47" s="151" customFormat="1" ht="19.899999999999999" customHeight="1" x14ac:dyDescent="0.2">
      <c r="B106" s="58"/>
      <c r="D106" s="59" t="s">
        <v>210</v>
      </c>
      <c r="E106" s="60"/>
      <c r="F106" s="60"/>
      <c r="G106" s="60"/>
      <c r="H106" s="60"/>
      <c r="I106" s="60"/>
      <c r="J106" s="61" t="e">
        <f>#REF!</f>
        <v>#REF!</v>
      </c>
      <c r="L106" s="58"/>
    </row>
    <row r="107" spans="1:47" s="151" customFormat="1" ht="19.899999999999999" customHeight="1" x14ac:dyDescent="0.2">
      <c r="B107" s="58"/>
      <c r="D107" s="59" t="s">
        <v>211</v>
      </c>
      <c r="E107" s="60"/>
      <c r="F107" s="60"/>
      <c r="G107" s="60"/>
      <c r="H107" s="60"/>
      <c r="I107" s="60"/>
      <c r="J107" s="61">
        <f>J284</f>
        <v>972.52</v>
      </c>
      <c r="L107" s="58"/>
    </row>
    <row r="108" spans="1:47" s="151" customFormat="1" ht="19.899999999999999" customHeight="1" x14ac:dyDescent="0.2">
      <c r="B108" s="58"/>
      <c r="D108" s="59" t="s">
        <v>135</v>
      </c>
      <c r="E108" s="60"/>
      <c r="F108" s="60"/>
      <c r="G108" s="60"/>
      <c r="H108" s="60"/>
      <c r="I108" s="60"/>
      <c r="J108" s="61">
        <f>J304</f>
        <v>180.96</v>
      </c>
      <c r="L108" s="58"/>
    </row>
    <row r="109" spans="1:47" s="1" customFormat="1" ht="21.75" customHeight="1" x14ac:dyDescent="0.2">
      <c r="A109" s="156"/>
      <c r="B109" s="16"/>
      <c r="C109" s="156"/>
      <c r="D109" s="156"/>
      <c r="E109" s="156"/>
      <c r="F109" s="156"/>
      <c r="G109" s="156"/>
      <c r="H109" s="156"/>
      <c r="I109" s="156"/>
      <c r="J109" s="156"/>
      <c r="K109" s="156"/>
      <c r="L109" s="17"/>
      <c r="S109" s="156"/>
      <c r="T109" s="156"/>
      <c r="U109" s="156"/>
      <c r="V109" s="156"/>
      <c r="W109" s="156"/>
      <c r="X109" s="156"/>
      <c r="Y109" s="156"/>
      <c r="Z109" s="156"/>
      <c r="AA109" s="156"/>
      <c r="AB109" s="156"/>
      <c r="AC109" s="156"/>
      <c r="AD109" s="156"/>
      <c r="AE109" s="156"/>
    </row>
    <row r="110" spans="1:47" s="1" customFormat="1" ht="6.95" customHeight="1" x14ac:dyDescent="0.2">
      <c r="A110" s="156"/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17"/>
      <c r="S110" s="156"/>
      <c r="T110" s="156"/>
      <c r="U110" s="156"/>
      <c r="V110" s="156"/>
      <c r="W110" s="156"/>
      <c r="X110" s="156"/>
      <c r="Y110" s="156"/>
      <c r="Z110" s="156"/>
      <c r="AA110" s="156"/>
      <c r="AB110" s="156"/>
      <c r="AC110" s="156"/>
      <c r="AD110" s="156"/>
      <c r="AE110" s="156"/>
    </row>
    <row r="114" spans="1:31" s="1" customFormat="1" ht="6.95" customHeight="1" x14ac:dyDescent="0.2">
      <c r="A114" s="156"/>
      <c r="B114" s="24"/>
      <c r="C114" s="25"/>
      <c r="D114" s="25"/>
      <c r="E114" s="25"/>
      <c r="F114" s="25"/>
      <c r="G114" s="25"/>
      <c r="H114" s="25"/>
      <c r="I114" s="25"/>
      <c r="J114" s="25"/>
      <c r="K114" s="25"/>
      <c r="L114" s="17"/>
      <c r="S114" s="156"/>
      <c r="T114" s="156"/>
      <c r="U114" s="156"/>
      <c r="V114" s="156"/>
      <c r="W114" s="156"/>
      <c r="X114" s="156"/>
      <c r="Y114" s="156"/>
      <c r="Z114" s="156"/>
      <c r="AA114" s="156"/>
      <c r="AB114" s="156"/>
      <c r="AC114" s="156"/>
      <c r="AD114" s="156"/>
      <c r="AE114" s="156"/>
    </row>
    <row r="115" spans="1:31" s="1" customFormat="1" ht="24.95" customHeight="1" x14ac:dyDescent="0.2">
      <c r="A115" s="156"/>
      <c r="B115" s="16"/>
      <c r="C115" s="14" t="s">
        <v>60</v>
      </c>
      <c r="D115" s="156"/>
      <c r="E115" s="156"/>
      <c r="F115" s="156"/>
      <c r="G115" s="156"/>
      <c r="H115" s="156"/>
      <c r="I115" s="156"/>
      <c r="J115" s="156"/>
      <c r="K115" s="156"/>
      <c r="L115" s="17"/>
      <c r="S115" s="156"/>
      <c r="T115" s="156"/>
      <c r="U115" s="156"/>
      <c r="V115" s="156"/>
      <c r="W115" s="156"/>
      <c r="X115" s="156"/>
      <c r="Y115" s="156"/>
      <c r="Z115" s="156"/>
      <c r="AA115" s="156"/>
      <c r="AB115" s="156"/>
      <c r="AC115" s="156"/>
      <c r="AD115" s="156"/>
      <c r="AE115" s="156"/>
    </row>
    <row r="116" spans="1:31" s="1" customFormat="1" ht="6.95" customHeight="1" x14ac:dyDescent="0.2">
      <c r="A116" s="156"/>
      <c r="B116" s="16"/>
      <c r="C116" s="156"/>
      <c r="D116" s="156"/>
      <c r="E116" s="156"/>
      <c r="F116" s="156"/>
      <c r="G116" s="156"/>
      <c r="H116" s="156"/>
      <c r="I116" s="156"/>
      <c r="J116" s="156"/>
      <c r="K116" s="156"/>
      <c r="L116" s="17"/>
      <c r="S116" s="156"/>
      <c r="T116" s="156"/>
      <c r="U116" s="156"/>
      <c r="V116" s="156"/>
      <c r="W116" s="156"/>
      <c r="X116" s="156"/>
      <c r="Y116" s="156"/>
      <c r="Z116" s="156"/>
      <c r="AA116" s="156"/>
      <c r="AB116" s="156"/>
      <c r="AC116" s="156"/>
      <c r="AD116" s="156"/>
      <c r="AE116" s="156"/>
    </row>
    <row r="117" spans="1:31" s="1" customFormat="1" ht="12" customHeight="1" x14ac:dyDescent="0.2">
      <c r="A117" s="156"/>
      <c r="B117" s="16"/>
      <c r="C117" s="154" t="s">
        <v>6</v>
      </c>
      <c r="D117" s="156"/>
      <c r="E117" s="156"/>
      <c r="F117" s="156"/>
      <c r="G117" s="156"/>
      <c r="H117" s="156"/>
      <c r="I117" s="156"/>
      <c r="J117" s="156"/>
      <c r="K117" s="156"/>
      <c r="L117" s="17"/>
      <c r="S117" s="156"/>
      <c r="T117" s="156"/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31" s="1" customFormat="1" ht="16.5" customHeight="1" x14ac:dyDescent="0.2">
      <c r="A118" s="156"/>
      <c r="B118" s="16"/>
      <c r="C118" s="156"/>
      <c r="D118" s="156"/>
      <c r="E118" s="195" t="e">
        <f>E7</f>
        <v>#REF!</v>
      </c>
      <c r="F118" s="201"/>
      <c r="G118" s="201"/>
      <c r="H118" s="201"/>
      <c r="I118" s="156"/>
      <c r="J118" s="156"/>
      <c r="K118" s="156"/>
      <c r="L118" s="17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</row>
    <row r="119" spans="1:31" ht="12" customHeight="1" x14ac:dyDescent="0.2">
      <c r="B119" s="13"/>
      <c r="C119" s="154" t="s">
        <v>50</v>
      </c>
      <c r="L119" s="13"/>
    </row>
    <row r="120" spans="1:31" ht="16.5" customHeight="1" x14ac:dyDescent="0.2">
      <c r="B120" s="13"/>
      <c r="E120" s="195" t="s">
        <v>51</v>
      </c>
      <c r="F120" s="196"/>
      <c r="G120" s="196"/>
      <c r="H120" s="196"/>
      <c r="L120" s="13"/>
    </row>
    <row r="121" spans="1:31" ht="12" customHeight="1" x14ac:dyDescent="0.2">
      <c r="B121" s="13"/>
      <c r="C121" s="154" t="s">
        <v>52</v>
      </c>
      <c r="L121" s="13"/>
    </row>
    <row r="122" spans="1:31" s="1" customFormat="1" ht="16.5" customHeight="1" x14ac:dyDescent="0.2">
      <c r="A122" s="156"/>
      <c r="B122" s="16"/>
      <c r="C122" s="156"/>
      <c r="D122" s="156"/>
      <c r="E122" s="197" t="s">
        <v>201</v>
      </c>
      <c r="F122" s="198"/>
      <c r="G122" s="198"/>
      <c r="H122" s="198"/>
      <c r="I122" s="156"/>
      <c r="J122" s="156"/>
      <c r="K122" s="156"/>
      <c r="L122" s="17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</row>
    <row r="123" spans="1:31" s="1" customFormat="1" ht="12" customHeight="1" x14ac:dyDescent="0.2">
      <c r="A123" s="156"/>
      <c r="B123" s="16"/>
      <c r="C123" s="154" t="s">
        <v>202</v>
      </c>
      <c r="D123" s="156"/>
      <c r="E123" s="156"/>
      <c r="F123" s="156"/>
      <c r="G123" s="156"/>
      <c r="H123" s="156"/>
      <c r="I123" s="156"/>
      <c r="J123" s="156"/>
      <c r="K123" s="156"/>
      <c r="L123" s="17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</row>
    <row r="124" spans="1:31" s="1" customFormat="1" ht="16.5" customHeight="1" x14ac:dyDescent="0.2">
      <c r="A124" s="156"/>
      <c r="B124" s="16"/>
      <c r="C124" s="156"/>
      <c r="D124" s="156"/>
      <c r="E124" s="199" t="str">
        <f>E13</f>
        <v>00007 - DSO 01.3.1g Kanalizační odbočení Stoky D3-Od106c(3,25m)</v>
      </c>
      <c r="F124" s="198"/>
      <c r="G124" s="198"/>
      <c r="H124" s="198"/>
      <c r="I124" s="156"/>
      <c r="J124" s="156"/>
      <c r="K124" s="156"/>
      <c r="L124" s="17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pans="1:31" s="1" customFormat="1" ht="6.95" customHeight="1" x14ac:dyDescent="0.2">
      <c r="A125" s="156"/>
      <c r="B125" s="16"/>
      <c r="C125" s="156"/>
      <c r="D125" s="156"/>
      <c r="E125" s="156"/>
      <c r="F125" s="156"/>
      <c r="G125" s="156"/>
      <c r="H125" s="156"/>
      <c r="I125" s="156"/>
      <c r="J125" s="156"/>
      <c r="K125" s="156"/>
      <c r="L125" s="17"/>
      <c r="S125" s="156"/>
      <c r="T125" s="156"/>
      <c r="U125" s="156"/>
      <c r="V125" s="156"/>
      <c r="W125" s="156"/>
      <c r="X125" s="156"/>
      <c r="Y125" s="156"/>
      <c r="Z125" s="156"/>
      <c r="AA125" s="156"/>
      <c r="AB125" s="156"/>
      <c r="AC125" s="156"/>
      <c r="AD125" s="156"/>
      <c r="AE125" s="156"/>
    </row>
    <row r="126" spans="1:31" s="1" customFormat="1" ht="12" customHeight="1" x14ac:dyDescent="0.2">
      <c r="A126" s="156"/>
      <c r="B126" s="16"/>
      <c r="C126" s="154" t="s">
        <v>9</v>
      </c>
      <c r="D126" s="156"/>
      <c r="E126" s="156"/>
      <c r="F126" s="147" t="str">
        <f>F16</f>
        <v xml:space="preserve"> </v>
      </c>
      <c r="G126" s="156"/>
      <c r="H126" s="156"/>
      <c r="I126" s="154" t="s">
        <v>11</v>
      </c>
      <c r="J126" s="153" t="e">
        <f>IF(J16="","",J16)</f>
        <v>#REF!</v>
      </c>
      <c r="K126" s="156"/>
      <c r="L126" s="17"/>
      <c r="S126" s="156"/>
      <c r="T126" s="156"/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pans="1:31" s="1" customFormat="1" ht="6.95" customHeight="1" x14ac:dyDescent="0.2">
      <c r="A127" s="156"/>
      <c r="B127" s="16"/>
      <c r="C127" s="156"/>
      <c r="D127" s="156"/>
      <c r="E127" s="156"/>
      <c r="F127" s="156"/>
      <c r="G127" s="156"/>
      <c r="H127" s="156"/>
      <c r="I127" s="156"/>
      <c r="J127" s="156"/>
      <c r="K127" s="156"/>
      <c r="L127" s="17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</row>
    <row r="128" spans="1:31" s="1" customFormat="1" ht="40.15" customHeight="1" x14ac:dyDescent="0.2">
      <c r="A128" s="156"/>
      <c r="B128" s="16"/>
      <c r="C128" s="154" t="s">
        <v>12</v>
      </c>
      <c r="D128" s="156"/>
      <c r="E128" s="156"/>
      <c r="F128" s="147" t="str">
        <f>E19</f>
        <v>Město Petřvald</v>
      </c>
      <c r="G128" s="156"/>
      <c r="H128" s="156"/>
      <c r="I128" s="154" t="s">
        <v>17</v>
      </c>
      <c r="J128" s="148" t="str">
        <f>E25</f>
        <v>Sweco Hydroprojekt a.s., divize Morava</v>
      </c>
      <c r="K128" s="156"/>
      <c r="L128" s="17"/>
      <c r="S128" s="156"/>
      <c r="T128" s="156"/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pans="1:65" s="1" customFormat="1" ht="15.2" customHeight="1" x14ac:dyDescent="0.2">
      <c r="A129" s="156"/>
      <c r="B129" s="16"/>
      <c r="C129" s="154" t="s">
        <v>16</v>
      </c>
      <c r="D129" s="156"/>
      <c r="E129" s="156"/>
      <c r="F129" s="147" t="e">
        <f>IF(E22="","",E22)</f>
        <v>#REF!</v>
      </c>
      <c r="G129" s="156"/>
      <c r="H129" s="156"/>
      <c r="I129" s="154" t="s">
        <v>20</v>
      </c>
      <c r="J129" s="148" t="e">
        <f>E28</f>
        <v>#REF!</v>
      </c>
      <c r="K129" s="156"/>
      <c r="L129" s="17"/>
      <c r="S129" s="156"/>
      <c r="T129" s="156"/>
      <c r="U129" s="156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</row>
    <row r="130" spans="1:65" s="1" customFormat="1" ht="10.35" customHeight="1" x14ac:dyDescent="0.2">
      <c r="A130" s="156"/>
      <c r="B130" s="16"/>
      <c r="C130" s="156"/>
      <c r="D130" s="156"/>
      <c r="E130" s="156"/>
      <c r="F130" s="156"/>
      <c r="G130" s="156"/>
      <c r="H130" s="156"/>
      <c r="I130" s="156"/>
      <c r="J130" s="156"/>
      <c r="K130" s="156"/>
      <c r="L130" s="17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</row>
    <row r="131" spans="1:65" s="4" customFormat="1" ht="29.25" customHeight="1" x14ac:dyDescent="0.2">
      <c r="A131" s="62"/>
      <c r="B131" s="63"/>
      <c r="C131" s="64" t="s">
        <v>61</v>
      </c>
      <c r="D131" s="65" t="s">
        <v>43</v>
      </c>
      <c r="E131" s="65" t="s">
        <v>41</v>
      </c>
      <c r="F131" s="65" t="s">
        <v>42</v>
      </c>
      <c r="G131" s="65" t="s">
        <v>62</v>
      </c>
      <c r="H131" s="65" t="s">
        <v>63</v>
      </c>
      <c r="I131" s="65" t="s">
        <v>64</v>
      </c>
      <c r="J131" s="65" t="s">
        <v>55</v>
      </c>
      <c r="K131" s="66" t="s">
        <v>65</v>
      </c>
      <c r="L131" s="67"/>
      <c r="M131" s="30" t="s">
        <v>0</v>
      </c>
      <c r="N131" s="31" t="s">
        <v>26</v>
      </c>
      <c r="O131" s="31" t="s">
        <v>66</v>
      </c>
      <c r="P131" s="31" t="s">
        <v>67</v>
      </c>
      <c r="Q131" s="31" t="s">
        <v>68</v>
      </c>
      <c r="R131" s="31" t="s">
        <v>69</v>
      </c>
      <c r="S131" s="31" t="s">
        <v>70</v>
      </c>
      <c r="T131" s="32" t="s">
        <v>71</v>
      </c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</row>
    <row r="132" spans="1:65" s="1" customFormat="1" ht="22.9" customHeight="1" x14ac:dyDescent="0.25">
      <c r="A132" s="156"/>
      <c r="B132" s="16"/>
      <c r="C132" s="35" t="s">
        <v>72</v>
      </c>
      <c r="D132" s="156"/>
      <c r="E132" s="156"/>
      <c r="F132" s="156"/>
      <c r="G132" s="156" t="s">
        <v>212</v>
      </c>
      <c r="H132" s="156"/>
      <c r="I132" s="156"/>
      <c r="J132" s="68">
        <f>BK132</f>
        <v>43878.479999999996</v>
      </c>
      <c r="K132" s="156"/>
      <c r="L132" s="16"/>
      <c r="M132" s="33"/>
      <c r="N132" s="26"/>
      <c r="O132" s="34"/>
      <c r="P132" s="69" t="e">
        <f>P133</f>
        <v>#REF!</v>
      </c>
      <c r="Q132" s="34"/>
      <c r="R132" s="69" t="e">
        <f>R133</f>
        <v>#REF!</v>
      </c>
      <c r="S132" s="34"/>
      <c r="T132" s="70" t="e">
        <f>T133</f>
        <v>#REF!</v>
      </c>
      <c r="U132" s="156"/>
      <c r="V132" s="156"/>
      <c r="W132" s="156"/>
      <c r="X132" s="156"/>
      <c r="Y132" s="156"/>
      <c r="Z132" s="156"/>
      <c r="AA132" s="156"/>
      <c r="AB132" s="156"/>
      <c r="AC132" s="156"/>
      <c r="AD132" s="156"/>
      <c r="AE132" s="156"/>
      <c r="AT132" s="10" t="s">
        <v>44</v>
      </c>
      <c r="AU132" s="10" t="s">
        <v>57</v>
      </c>
      <c r="BK132" s="71">
        <f>BK133</f>
        <v>43878.479999999996</v>
      </c>
    </row>
    <row r="133" spans="1:65" s="5" customFormat="1" ht="25.9" customHeight="1" x14ac:dyDescent="0.2">
      <c r="B133" s="72"/>
      <c r="D133" s="73" t="s">
        <v>44</v>
      </c>
      <c r="E133" s="74" t="s">
        <v>73</v>
      </c>
      <c r="F133" s="74" t="s">
        <v>74</v>
      </c>
      <c r="G133" s="5" t="s">
        <v>212</v>
      </c>
      <c r="I133" s="75"/>
      <c r="J133" s="76">
        <f>BK133</f>
        <v>43878.479999999996</v>
      </c>
      <c r="L133" s="72"/>
      <c r="M133" s="77"/>
      <c r="N133" s="78"/>
      <c r="O133" s="78"/>
      <c r="P133" s="79" t="e">
        <f>P134+P224+P227+P242+P252+#REF!+P284+P304</f>
        <v>#REF!</v>
      </c>
      <c r="Q133" s="78"/>
      <c r="R133" s="79" t="e">
        <f>R134+R224+R227+R242+R252+#REF!+R284+R304</f>
        <v>#REF!</v>
      </c>
      <c r="S133" s="78"/>
      <c r="T133" s="80" t="e">
        <f>T134+T224+T227+T242+T252+#REF!+T284+T304</f>
        <v>#REF!</v>
      </c>
      <c r="AR133" s="73" t="s">
        <v>46</v>
      </c>
      <c r="AT133" s="81" t="s">
        <v>44</v>
      </c>
      <c r="AU133" s="81" t="s">
        <v>45</v>
      </c>
      <c r="AY133" s="73" t="s">
        <v>75</v>
      </c>
      <c r="BK133" s="82">
        <f>BK134+BK224+BK227+BK242+BK252+BK284+BK304</f>
        <v>43878.479999999996</v>
      </c>
    </row>
    <row r="134" spans="1:65" s="5" customFormat="1" ht="22.9" customHeight="1" x14ac:dyDescent="0.2">
      <c r="B134" s="72"/>
      <c r="D134" s="73" t="s">
        <v>44</v>
      </c>
      <c r="E134" s="83" t="s">
        <v>46</v>
      </c>
      <c r="F134" s="83" t="s">
        <v>76</v>
      </c>
      <c r="G134" s="5" t="s">
        <v>212</v>
      </c>
      <c r="I134" s="75"/>
      <c r="J134" s="84">
        <f>BK134</f>
        <v>17292.190000000002</v>
      </c>
      <c r="L134" s="72"/>
      <c r="M134" s="77"/>
      <c r="N134" s="78"/>
      <c r="O134" s="78"/>
      <c r="P134" s="79">
        <f>SUM(P135:P223)</f>
        <v>0</v>
      </c>
      <c r="Q134" s="78"/>
      <c r="R134" s="79">
        <f>SUM(R135:R223)</f>
        <v>13.134437</v>
      </c>
      <c r="S134" s="78"/>
      <c r="T134" s="80">
        <f>SUM(T135:T223)</f>
        <v>3.6796499999999992</v>
      </c>
      <c r="AR134" s="73" t="s">
        <v>46</v>
      </c>
      <c r="AT134" s="81" t="s">
        <v>44</v>
      </c>
      <c r="AU134" s="81" t="s">
        <v>46</v>
      </c>
      <c r="AY134" s="73" t="s">
        <v>75</v>
      </c>
      <c r="BK134" s="82">
        <f>SUM(BK135:BK223)</f>
        <v>17292.190000000002</v>
      </c>
    </row>
    <row r="135" spans="1:65" s="1" customFormat="1" ht="24.2" customHeight="1" x14ac:dyDescent="0.2">
      <c r="A135" s="156"/>
      <c r="B135" s="85"/>
      <c r="C135" s="86" t="s">
        <v>46</v>
      </c>
      <c r="D135" s="86" t="s">
        <v>78</v>
      </c>
      <c r="E135" s="87" t="s">
        <v>146</v>
      </c>
      <c r="F135" s="88" t="s">
        <v>147</v>
      </c>
      <c r="G135" s="89" t="s">
        <v>100</v>
      </c>
      <c r="H135" s="90">
        <v>2.9249999999999998</v>
      </c>
      <c r="I135" s="91">
        <v>68.767172335543137</v>
      </c>
      <c r="J135" s="92">
        <f>ROUND(I135*H135,2)</f>
        <v>201.14</v>
      </c>
      <c r="K135" s="88" t="s">
        <v>0</v>
      </c>
      <c r="L135" s="16"/>
      <c r="M135" s="93" t="s">
        <v>0</v>
      </c>
      <c r="N135" s="94" t="s">
        <v>27</v>
      </c>
      <c r="O135" s="27"/>
      <c r="P135" s="95">
        <f>O135*H135</f>
        <v>0</v>
      </c>
      <c r="Q135" s="95">
        <v>0</v>
      </c>
      <c r="R135" s="95">
        <f>Q135*H135</f>
        <v>0</v>
      </c>
      <c r="S135" s="95">
        <v>0.57999999999999996</v>
      </c>
      <c r="T135" s="96">
        <f>S135*H135</f>
        <v>1.6964999999999997</v>
      </c>
      <c r="U135" s="156"/>
      <c r="V135" s="156"/>
      <c r="W135" s="156"/>
      <c r="X135" s="156"/>
      <c r="Y135" s="156"/>
      <c r="Z135" s="156"/>
      <c r="AA135" s="156"/>
      <c r="AB135" s="156"/>
      <c r="AC135" s="156"/>
      <c r="AD135" s="156"/>
      <c r="AE135" s="156"/>
      <c r="AR135" s="97" t="s">
        <v>83</v>
      </c>
      <c r="AT135" s="97" t="s">
        <v>78</v>
      </c>
      <c r="AU135" s="97" t="s">
        <v>47</v>
      </c>
      <c r="AY135" s="10" t="s">
        <v>75</v>
      </c>
      <c r="BE135" s="98">
        <f>IF(N135="základní",J135,0)</f>
        <v>201.14</v>
      </c>
      <c r="BF135" s="98">
        <f>IF(N135="snížená",J135,0)</f>
        <v>0</v>
      </c>
      <c r="BG135" s="98">
        <f>IF(N135="zákl. přenesená",J135,0)</f>
        <v>0</v>
      </c>
      <c r="BH135" s="98">
        <f>IF(N135="sníž. přenesená",J135,0)</f>
        <v>0</v>
      </c>
      <c r="BI135" s="98">
        <f>IF(N135="nulová",J135,0)</f>
        <v>0</v>
      </c>
      <c r="BJ135" s="10" t="s">
        <v>46</v>
      </c>
      <c r="BK135" s="98">
        <f>ROUND(I135*H135,2)</f>
        <v>201.14</v>
      </c>
      <c r="BL135" s="10" t="s">
        <v>83</v>
      </c>
      <c r="BM135" s="97" t="s">
        <v>213</v>
      </c>
    </row>
    <row r="136" spans="1:65" s="1" customFormat="1" ht="39" x14ac:dyDescent="0.2">
      <c r="A136" s="156"/>
      <c r="B136" s="16"/>
      <c r="C136" s="156"/>
      <c r="D136" s="99" t="s">
        <v>84</v>
      </c>
      <c r="E136" s="156"/>
      <c r="F136" s="100" t="s">
        <v>148</v>
      </c>
      <c r="G136" s="156"/>
      <c r="H136" s="156"/>
      <c r="I136" s="101"/>
      <c r="J136" s="156"/>
      <c r="K136" s="156"/>
      <c r="L136" s="16"/>
      <c r="M136" s="102"/>
      <c r="N136" s="103"/>
      <c r="O136" s="27"/>
      <c r="P136" s="27"/>
      <c r="Q136" s="27"/>
      <c r="R136" s="27"/>
      <c r="S136" s="27"/>
      <c r="T136" s="28"/>
      <c r="U136" s="156"/>
      <c r="V136" s="156"/>
      <c r="W136" s="156"/>
      <c r="X136" s="156"/>
      <c r="Y136" s="156"/>
      <c r="Z136" s="156"/>
      <c r="AA136" s="156"/>
      <c r="AB136" s="156"/>
      <c r="AC136" s="156"/>
      <c r="AD136" s="156"/>
      <c r="AE136" s="156"/>
      <c r="AT136" s="10" t="s">
        <v>84</v>
      </c>
      <c r="AU136" s="10" t="s">
        <v>47</v>
      </c>
    </row>
    <row r="137" spans="1:65" s="1" customFormat="1" ht="17.25" customHeight="1" x14ac:dyDescent="0.2">
      <c r="A137" s="171"/>
      <c r="B137" s="16"/>
      <c r="C137" s="171"/>
      <c r="D137" s="99"/>
      <c r="E137" s="171"/>
      <c r="F137" s="100" t="s">
        <v>538</v>
      </c>
      <c r="G137" s="171"/>
      <c r="H137" s="171">
        <f>3.25-0.325</f>
        <v>2.9249999999999998</v>
      </c>
      <c r="I137" s="101"/>
      <c r="J137" s="171"/>
      <c r="K137" s="171"/>
      <c r="L137" s="16"/>
      <c r="M137" s="102"/>
      <c r="N137" s="103"/>
      <c r="O137" s="27"/>
      <c r="P137" s="27"/>
      <c r="Q137" s="27"/>
      <c r="R137" s="27"/>
      <c r="S137" s="27"/>
      <c r="T137" s="28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T137" s="10"/>
      <c r="AU137" s="10"/>
    </row>
    <row r="138" spans="1:65" s="1" customFormat="1" ht="24.2" customHeight="1" x14ac:dyDescent="0.2">
      <c r="A138" s="156"/>
      <c r="B138" s="85"/>
      <c r="C138" s="86" t="s">
        <v>47</v>
      </c>
      <c r="D138" s="86" t="s">
        <v>78</v>
      </c>
      <c r="E138" s="87" t="s">
        <v>149</v>
      </c>
      <c r="F138" s="88" t="s">
        <v>150</v>
      </c>
      <c r="G138" s="89" t="s">
        <v>100</v>
      </c>
      <c r="H138" s="90">
        <v>2.9249999999999998</v>
      </c>
      <c r="I138" s="91">
        <v>68.767172335543137</v>
      </c>
      <c r="J138" s="92">
        <f>ROUND(I138*H138,2)</f>
        <v>201.14</v>
      </c>
      <c r="K138" s="88" t="s">
        <v>82</v>
      </c>
      <c r="L138" s="16"/>
      <c r="M138" s="93" t="s">
        <v>0</v>
      </c>
      <c r="N138" s="94" t="s">
        <v>27</v>
      </c>
      <c r="O138" s="27"/>
      <c r="P138" s="95">
        <f>O138*H138</f>
        <v>0</v>
      </c>
      <c r="Q138" s="95">
        <v>0</v>
      </c>
      <c r="R138" s="95">
        <f>Q138*H138</f>
        <v>0</v>
      </c>
      <c r="S138" s="95">
        <v>0.57999999999999996</v>
      </c>
      <c r="T138" s="96">
        <f>S138*H138</f>
        <v>1.6964999999999997</v>
      </c>
      <c r="U138" s="156"/>
      <c r="V138" s="156"/>
      <c r="W138" s="156"/>
      <c r="X138" s="156"/>
      <c r="Y138" s="156"/>
      <c r="Z138" s="156"/>
      <c r="AA138" s="156"/>
      <c r="AB138" s="156"/>
      <c r="AC138" s="156"/>
      <c r="AD138" s="156"/>
      <c r="AE138" s="156"/>
      <c r="AR138" s="97" t="s">
        <v>83</v>
      </c>
      <c r="AT138" s="97" t="s">
        <v>78</v>
      </c>
      <c r="AU138" s="97" t="s">
        <v>47</v>
      </c>
      <c r="AY138" s="10" t="s">
        <v>75</v>
      </c>
      <c r="BE138" s="98">
        <f>IF(N138="základní",J138,0)</f>
        <v>201.14</v>
      </c>
      <c r="BF138" s="98">
        <f>IF(N138="snížená",J138,0)</f>
        <v>0</v>
      </c>
      <c r="BG138" s="98">
        <f>IF(N138="zákl. přenesená",J138,0)</f>
        <v>0</v>
      </c>
      <c r="BH138" s="98">
        <f>IF(N138="sníž. přenesená",J138,0)</f>
        <v>0</v>
      </c>
      <c r="BI138" s="98">
        <f>IF(N138="nulová",J138,0)</f>
        <v>0</v>
      </c>
      <c r="BJ138" s="10" t="s">
        <v>46</v>
      </c>
      <c r="BK138" s="98">
        <f>ROUND(I138*H138,2)</f>
        <v>201.14</v>
      </c>
      <c r="BL138" s="10" t="s">
        <v>83</v>
      </c>
      <c r="BM138" s="97" t="s">
        <v>214</v>
      </c>
    </row>
    <row r="139" spans="1:65" s="1" customFormat="1" ht="39" x14ac:dyDescent="0.2">
      <c r="A139" s="156"/>
      <c r="B139" s="16"/>
      <c r="C139" s="156"/>
      <c r="D139" s="99" t="s">
        <v>84</v>
      </c>
      <c r="E139" s="156"/>
      <c r="F139" s="100" t="s">
        <v>148</v>
      </c>
      <c r="G139" s="156"/>
      <c r="H139" s="156"/>
      <c r="I139" s="101"/>
      <c r="J139" s="156"/>
      <c r="K139" s="156"/>
      <c r="L139" s="16"/>
      <c r="M139" s="102"/>
      <c r="N139" s="103"/>
      <c r="O139" s="27"/>
      <c r="P139" s="27"/>
      <c r="Q139" s="27"/>
      <c r="R139" s="27"/>
      <c r="S139" s="27"/>
      <c r="T139" s="28"/>
      <c r="U139" s="156"/>
      <c r="V139" s="156"/>
      <c r="W139" s="156"/>
      <c r="X139" s="156"/>
      <c r="Y139" s="156"/>
      <c r="Z139" s="156"/>
      <c r="AA139" s="156"/>
      <c r="AB139" s="156"/>
      <c r="AC139" s="156"/>
      <c r="AD139" s="156"/>
      <c r="AE139" s="156"/>
      <c r="AT139" s="10" t="s">
        <v>84</v>
      </c>
      <c r="AU139" s="10" t="s">
        <v>47</v>
      </c>
    </row>
    <row r="140" spans="1:65" s="1" customFormat="1" ht="24.2" customHeight="1" x14ac:dyDescent="0.2">
      <c r="A140" s="156"/>
      <c r="B140" s="85"/>
      <c r="C140" s="86" t="s">
        <v>48</v>
      </c>
      <c r="D140" s="86" t="s">
        <v>78</v>
      </c>
      <c r="E140" s="87" t="s">
        <v>151</v>
      </c>
      <c r="F140" s="88" t="s">
        <v>215</v>
      </c>
      <c r="G140" s="89" t="s">
        <v>100</v>
      </c>
      <c r="H140" s="90">
        <v>2.9249999999999998</v>
      </c>
      <c r="I140" s="91">
        <v>27.886826761540966</v>
      </c>
      <c r="J140" s="92">
        <f>ROUND(I140*H140,2)</f>
        <v>81.569999999999993</v>
      </c>
      <c r="K140" s="88" t="s">
        <v>82</v>
      </c>
      <c r="L140" s="16"/>
      <c r="M140" s="93" t="s">
        <v>0</v>
      </c>
      <c r="N140" s="94" t="s">
        <v>27</v>
      </c>
      <c r="O140" s="27"/>
      <c r="P140" s="95">
        <f>O140*H140</f>
        <v>0</v>
      </c>
      <c r="Q140" s="95">
        <v>0</v>
      </c>
      <c r="R140" s="95">
        <f>Q140*H140</f>
        <v>0</v>
      </c>
      <c r="S140" s="95">
        <v>9.8000000000000004E-2</v>
      </c>
      <c r="T140" s="96">
        <f>S140*H140</f>
        <v>0.28665000000000002</v>
      </c>
      <c r="U140" s="156"/>
      <c r="V140" s="156"/>
      <c r="W140" s="156"/>
      <c r="X140" s="156"/>
      <c r="Y140" s="156"/>
      <c r="Z140" s="156"/>
      <c r="AA140" s="156"/>
      <c r="AB140" s="156"/>
      <c r="AC140" s="156"/>
      <c r="AD140" s="156"/>
      <c r="AE140" s="156"/>
      <c r="AR140" s="97" t="s">
        <v>83</v>
      </c>
      <c r="AT140" s="97" t="s">
        <v>78</v>
      </c>
      <c r="AU140" s="97" t="s">
        <v>47</v>
      </c>
      <c r="AY140" s="10" t="s">
        <v>75</v>
      </c>
      <c r="BE140" s="98">
        <f>IF(N140="základní",J140,0)</f>
        <v>81.569999999999993</v>
      </c>
      <c r="BF140" s="98">
        <f>IF(N140="snížená",J140,0)</f>
        <v>0</v>
      </c>
      <c r="BG140" s="98">
        <f>IF(N140="zákl. přenesená",J140,0)</f>
        <v>0</v>
      </c>
      <c r="BH140" s="98">
        <f>IF(N140="sníž. přenesená",J140,0)</f>
        <v>0</v>
      </c>
      <c r="BI140" s="98">
        <f>IF(N140="nulová",J140,0)</f>
        <v>0</v>
      </c>
      <c r="BJ140" s="10" t="s">
        <v>46</v>
      </c>
      <c r="BK140" s="98">
        <f>ROUND(I140*H140,2)</f>
        <v>81.569999999999993</v>
      </c>
      <c r="BL140" s="10" t="s">
        <v>83</v>
      </c>
      <c r="BM140" s="97" t="s">
        <v>216</v>
      </c>
    </row>
    <row r="141" spans="1:65" s="1" customFormat="1" ht="29.25" x14ac:dyDescent="0.2">
      <c r="A141" s="156"/>
      <c r="B141" s="16"/>
      <c r="C141" s="156"/>
      <c r="D141" s="99" t="s">
        <v>84</v>
      </c>
      <c r="E141" s="156"/>
      <c r="F141" s="100" t="s">
        <v>152</v>
      </c>
      <c r="G141" s="156"/>
      <c r="H141" s="156"/>
      <c r="I141" s="101"/>
      <c r="J141" s="156"/>
      <c r="K141" s="156"/>
      <c r="L141" s="16"/>
      <c r="M141" s="102"/>
      <c r="N141" s="103"/>
      <c r="O141" s="27"/>
      <c r="P141" s="27"/>
      <c r="Q141" s="27"/>
      <c r="R141" s="27"/>
      <c r="S141" s="27"/>
      <c r="T141" s="28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T141" s="10" t="s">
        <v>84</v>
      </c>
      <c r="AU141" s="10" t="s">
        <v>47</v>
      </c>
    </row>
    <row r="142" spans="1:65" s="1" customFormat="1" ht="29.25" x14ac:dyDescent="0.2">
      <c r="A142" s="156"/>
      <c r="B142" s="16"/>
      <c r="C142" s="156"/>
      <c r="D142" s="99" t="s">
        <v>86</v>
      </c>
      <c r="E142" s="156"/>
      <c r="F142" s="104" t="s">
        <v>414</v>
      </c>
      <c r="G142" s="156"/>
      <c r="H142" s="156"/>
      <c r="I142" s="101"/>
      <c r="J142" s="156"/>
      <c r="K142" s="156"/>
      <c r="L142" s="16"/>
      <c r="M142" s="102"/>
      <c r="N142" s="103"/>
      <c r="O142" s="27"/>
      <c r="P142" s="27"/>
      <c r="Q142" s="27"/>
      <c r="R142" s="27"/>
      <c r="S142" s="27"/>
      <c r="T142" s="28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T142" s="10" t="s">
        <v>86</v>
      </c>
      <c r="AU142" s="10" t="s">
        <v>47</v>
      </c>
    </row>
    <row r="143" spans="1:65" s="1" customFormat="1" ht="24.2" customHeight="1" x14ac:dyDescent="0.2">
      <c r="A143" s="156"/>
      <c r="B143" s="85"/>
      <c r="C143" s="86" t="s">
        <v>83</v>
      </c>
      <c r="D143" s="86" t="s">
        <v>78</v>
      </c>
      <c r="E143" s="87" t="s">
        <v>218</v>
      </c>
      <c r="F143" s="88" t="s">
        <v>219</v>
      </c>
      <c r="G143" s="89" t="s">
        <v>100</v>
      </c>
      <c r="H143" s="90">
        <v>1</v>
      </c>
      <c r="I143" s="91">
        <v>23.091823190584471</v>
      </c>
      <c r="J143" s="92">
        <f>ROUND(I143*H143,2)</f>
        <v>23.09</v>
      </c>
      <c r="K143" s="88" t="s">
        <v>82</v>
      </c>
      <c r="L143" s="16"/>
      <c r="M143" s="93" t="s">
        <v>0</v>
      </c>
      <c r="N143" s="94" t="s">
        <v>27</v>
      </c>
      <c r="O143" s="27"/>
      <c r="P143" s="95">
        <f>O143*H143</f>
        <v>0</v>
      </c>
      <c r="Q143" s="95">
        <v>0</v>
      </c>
      <c r="R143" s="95">
        <f>Q143*H143</f>
        <v>0</v>
      </c>
      <c r="S143" s="95">
        <v>0</v>
      </c>
      <c r="T143" s="96">
        <f>S143*H143</f>
        <v>0</v>
      </c>
      <c r="U143" s="156"/>
      <c r="V143" s="156"/>
      <c r="W143" s="156"/>
      <c r="X143" s="156"/>
      <c r="Y143" s="156"/>
      <c r="Z143" s="156"/>
      <c r="AA143" s="156"/>
      <c r="AB143" s="156"/>
      <c r="AC143" s="156"/>
      <c r="AD143" s="156"/>
      <c r="AE143" s="156"/>
      <c r="AR143" s="97" t="s">
        <v>83</v>
      </c>
      <c r="AT143" s="97" t="s">
        <v>78</v>
      </c>
      <c r="AU143" s="97" t="s">
        <v>47</v>
      </c>
      <c r="AY143" s="10" t="s">
        <v>75</v>
      </c>
      <c r="BE143" s="98">
        <f>IF(N143="základní",J143,0)</f>
        <v>23.09</v>
      </c>
      <c r="BF143" s="98">
        <f>IF(N143="snížená",J143,0)</f>
        <v>0</v>
      </c>
      <c r="BG143" s="98">
        <f>IF(N143="zákl. přenesená",J143,0)</f>
        <v>0</v>
      </c>
      <c r="BH143" s="98">
        <f>IF(N143="sníž. přenesená",J143,0)</f>
        <v>0</v>
      </c>
      <c r="BI143" s="98">
        <f>IF(N143="nulová",J143,0)</f>
        <v>0</v>
      </c>
      <c r="BJ143" s="10" t="s">
        <v>46</v>
      </c>
      <c r="BK143" s="98">
        <f>ROUND(I143*H143,2)</f>
        <v>23.09</v>
      </c>
      <c r="BL143" s="10" t="s">
        <v>83</v>
      </c>
      <c r="BM143" s="97" t="s">
        <v>220</v>
      </c>
    </row>
    <row r="144" spans="1:65" s="1" customFormat="1" ht="19.5" x14ac:dyDescent="0.2">
      <c r="A144" s="156"/>
      <c r="B144" s="16"/>
      <c r="C144" s="156"/>
      <c r="D144" s="99" t="s">
        <v>84</v>
      </c>
      <c r="E144" s="156"/>
      <c r="F144" s="100" t="s">
        <v>221</v>
      </c>
      <c r="G144" s="156"/>
      <c r="H144" s="156"/>
      <c r="I144" s="101"/>
      <c r="J144" s="156"/>
      <c r="K144" s="156"/>
      <c r="L144" s="16"/>
      <c r="M144" s="102"/>
      <c r="N144" s="103"/>
      <c r="O144" s="27"/>
      <c r="P144" s="27"/>
      <c r="Q144" s="27"/>
      <c r="R144" s="27"/>
      <c r="S144" s="27"/>
      <c r="T144" s="28"/>
      <c r="U144" s="156"/>
      <c r="V144" s="156"/>
      <c r="W144" s="156"/>
      <c r="X144" s="156"/>
      <c r="Y144" s="156"/>
      <c r="Z144" s="156"/>
      <c r="AA144" s="156"/>
      <c r="AB144" s="156"/>
      <c r="AC144" s="156"/>
      <c r="AD144" s="156"/>
      <c r="AE144" s="156"/>
      <c r="AT144" s="10" t="s">
        <v>84</v>
      </c>
      <c r="AU144" s="10" t="s">
        <v>47</v>
      </c>
    </row>
    <row r="145" spans="1:65" s="1" customFormat="1" ht="29.25" x14ac:dyDescent="0.2">
      <c r="A145" s="156"/>
      <c r="B145" s="16"/>
      <c r="C145" s="156"/>
      <c r="D145" s="99" t="s">
        <v>86</v>
      </c>
      <c r="E145" s="156"/>
      <c r="F145" s="104" t="s">
        <v>414</v>
      </c>
      <c r="G145" s="156"/>
      <c r="H145" s="156"/>
      <c r="I145" s="101"/>
      <c r="J145" s="156"/>
      <c r="K145" s="156"/>
      <c r="L145" s="16"/>
      <c r="M145" s="102"/>
      <c r="N145" s="103"/>
      <c r="O145" s="27"/>
      <c r="P145" s="27"/>
      <c r="Q145" s="27"/>
      <c r="R145" s="27"/>
      <c r="S145" s="27"/>
      <c r="T145" s="28"/>
      <c r="U145" s="156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T145" s="10" t="s">
        <v>86</v>
      </c>
      <c r="AU145" s="10" t="s">
        <v>47</v>
      </c>
    </row>
    <row r="146" spans="1:65" s="1" customFormat="1" ht="24.2" customHeight="1" x14ac:dyDescent="0.2">
      <c r="A146" s="156"/>
      <c r="B146" s="85"/>
      <c r="C146" s="86" t="s">
        <v>223</v>
      </c>
      <c r="D146" s="86" t="s">
        <v>78</v>
      </c>
      <c r="E146" s="87" t="s">
        <v>79</v>
      </c>
      <c r="F146" s="88" t="s">
        <v>80</v>
      </c>
      <c r="G146" s="89" t="s">
        <v>81</v>
      </c>
      <c r="H146" s="90">
        <v>2.8439999999999999</v>
      </c>
      <c r="I146" s="91">
        <v>285.201942457955</v>
      </c>
      <c r="J146" s="92">
        <f>ROUND(I146*H146,2)</f>
        <v>811.11</v>
      </c>
      <c r="K146" s="88" t="s">
        <v>82</v>
      </c>
      <c r="L146" s="16"/>
      <c r="M146" s="93" t="s">
        <v>0</v>
      </c>
      <c r="N146" s="94" t="s">
        <v>27</v>
      </c>
      <c r="O146" s="27"/>
      <c r="P146" s="95">
        <f>O146*H146</f>
        <v>0</v>
      </c>
      <c r="Q146" s="95">
        <v>0</v>
      </c>
      <c r="R146" s="95">
        <f>Q146*H146</f>
        <v>0</v>
      </c>
      <c r="S146" s="95">
        <v>0</v>
      </c>
      <c r="T146" s="96">
        <f>S146*H146</f>
        <v>0</v>
      </c>
      <c r="U146" s="156"/>
      <c r="V146" s="156"/>
      <c r="W146" s="156"/>
      <c r="X146" s="156"/>
      <c r="Y146" s="156"/>
      <c r="Z146" s="156"/>
      <c r="AA146" s="156"/>
      <c r="AB146" s="156"/>
      <c r="AC146" s="156"/>
      <c r="AD146" s="156"/>
      <c r="AE146" s="156"/>
      <c r="AR146" s="97" t="s">
        <v>83</v>
      </c>
      <c r="AT146" s="97" t="s">
        <v>78</v>
      </c>
      <c r="AU146" s="97" t="s">
        <v>47</v>
      </c>
      <c r="AY146" s="10" t="s">
        <v>75</v>
      </c>
      <c r="BE146" s="98">
        <f>IF(N146="základní",J146,0)</f>
        <v>811.11</v>
      </c>
      <c r="BF146" s="98">
        <f>IF(N146="snížená",J146,0)</f>
        <v>0</v>
      </c>
      <c r="BG146" s="98">
        <f>IF(N146="zákl. přenesená",J146,0)</f>
        <v>0</v>
      </c>
      <c r="BH146" s="98">
        <f>IF(N146="sníž. přenesená",J146,0)</f>
        <v>0</v>
      </c>
      <c r="BI146" s="98">
        <f>IF(N146="nulová",J146,0)</f>
        <v>0</v>
      </c>
      <c r="BJ146" s="10" t="s">
        <v>46</v>
      </c>
      <c r="BK146" s="98">
        <f>ROUND(I146*H146,2)</f>
        <v>811.11</v>
      </c>
      <c r="BL146" s="10" t="s">
        <v>83</v>
      </c>
      <c r="BM146" s="97" t="s">
        <v>224</v>
      </c>
    </row>
    <row r="147" spans="1:65" s="1" customFormat="1" ht="39" x14ac:dyDescent="0.2">
      <c r="A147" s="156"/>
      <c r="B147" s="16"/>
      <c r="C147" s="156"/>
      <c r="D147" s="99" t="s">
        <v>84</v>
      </c>
      <c r="E147" s="156"/>
      <c r="F147" s="100" t="s">
        <v>85</v>
      </c>
      <c r="G147" s="156"/>
      <c r="H147" s="156"/>
      <c r="I147" s="101"/>
      <c r="J147" s="156"/>
      <c r="K147" s="156"/>
      <c r="L147" s="16"/>
      <c r="M147" s="102"/>
      <c r="N147" s="103"/>
      <c r="O147" s="27"/>
      <c r="P147" s="27"/>
      <c r="Q147" s="27"/>
      <c r="R147" s="27"/>
      <c r="S147" s="27"/>
      <c r="T147" s="28"/>
      <c r="U147" s="156"/>
      <c r="V147" s="156"/>
      <c r="W147" s="156"/>
      <c r="X147" s="156"/>
      <c r="Y147" s="156"/>
      <c r="Z147" s="156"/>
      <c r="AA147" s="156"/>
      <c r="AB147" s="156"/>
      <c r="AC147" s="156"/>
      <c r="AD147" s="156"/>
      <c r="AE147" s="156"/>
      <c r="AT147" s="10" t="s">
        <v>84</v>
      </c>
      <c r="AU147" s="10" t="s">
        <v>47</v>
      </c>
    </row>
    <row r="148" spans="1:65" s="1" customFormat="1" ht="39" x14ac:dyDescent="0.2">
      <c r="A148" s="156"/>
      <c r="B148" s="16"/>
      <c r="C148" s="156"/>
      <c r="D148" s="99" t="s">
        <v>86</v>
      </c>
      <c r="E148" s="156"/>
      <c r="F148" s="104" t="s">
        <v>415</v>
      </c>
      <c r="G148" s="156"/>
      <c r="H148" s="156"/>
      <c r="I148" s="101"/>
      <c r="J148" s="156"/>
      <c r="K148" s="156"/>
      <c r="L148" s="16"/>
      <c r="M148" s="102"/>
      <c r="N148" s="103"/>
      <c r="O148" s="27"/>
      <c r="P148" s="27"/>
      <c r="Q148" s="27"/>
      <c r="R148" s="27"/>
      <c r="S148" s="27"/>
      <c r="T148" s="28"/>
      <c r="U148" s="156"/>
      <c r="V148" s="156"/>
      <c r="W148" s="156"/>
      <c r="X148" s="156"/>
      <c r="Y148" s="156"/>
      <c r="Z148" s="156"/>
      <c r="AA148" s="156"/>
      <c r="AB148" s="156"/>
      <c r="AC148" s="156"/>
      <c r="AD148" s="156"/>
      <c r="AE148" s="156"/>
      <c r="AT148" s="10" t="s">
        <v>86</v>
      </c>
      <c r="AU148" s="10" t="s">
        <v>47</v>
      </c>
    </row>
    <row r="149" spans="1:65" s="6" customFormat="1" ht="22.5" x14ac:dyDescent="0.2">
      <c r="B149" s="105"/>
      <c r="D149" s="99" t="s">
        <v>87</v>
      </c>
      <c r="E149" s="106" t="s">
        <v>0</v>
      </c>
      <c r="F149" s="107" t="s">
        <v>226</v>
      </c>
      <c r="H149" s="106" t="s">
        <v>0</v>
      </c>
      <c r="I149" s="108"/>
      <c r="L149" s="105"/>
      <c r="M149" s="109"/>
      <c r="N149" s="110"/>
      <c r="O149" s="110"/>
      <c r="P149" s="110"/>
      <c r="Q149" s="110"/>
      <c r="R149" s="110"/>
      <c r="S149" s="110"/>
      <c r="T149" s="111"/>
      <c r="AT149" s="106" t="s">
        <v>87</v>
      </c>
      <c r="AU149" s="106" t="s">
        <v>47</v>
      </c>
      <c r="AV149" s="6" t="s">
        <v>46</v>
      </c>
      <c r="AW149" s="6" t="s">
        <v>19</v>
      </c>
      <c r="AX149" s="6" t="s">
        <v>45</v>
      </c>
      <c r="AY149" s="106" t="s">
        <v>75</v>
      </c>
    </row>
    <row r="150" spans="1:65" s="7" customFormat="1" x14ac:dyDescent="0.2">
      <c r="B150" s="112"/>
      <c r="D150" s="99" t="s">
        <v>87</v>
      </c>
      <c r="E150" s="113" t="s">
        <v>0</v>
      </c>
      <c r="F150" s="114" t="s">
        <v>539</v>
      </c>
      <c r="H150" s="115">
        <f>3.25*(2.2-0.45)*0.9</f>
        <v>5.1187500000000012</v>
      </c>
      <c r="I150" s="116"/>
      <c r="L150" s="112"/>
      <c r="M150" s="117"/>
      <c r="N150" s="118"/>
      <c r="O150" s="118"/>
      <c r="P150" s="118"/>
      <c r="Q150" s="118"/>
      <c r="R150" s="118"/>
      <c r="S150" s="118"/>
      <c r="T150" s="119"/>
      <c r="AT150" s="113" t="s">
        <v>87</v>
      </c>
      <c r="AU150" s="113" t="s">
        <v>47</v>
      </c>
      <c r="AV150" s="7" t="s">
        <v>47</v>
      </c>
      <c r="AW150" s="7" t="s">
        <v>19</v>
      </c>
      <c r="AX150" s="7" t="s">
        <v>45</v>
      </c>
      <c r="AY150" s="113" t="s">
        <v>75</v>
      </c>
    </row>
    <row r="151" spans="1:65" s="6" customFormat="1" x14ac:dyDescent="0.2">
      <c r="B151" s="105"/>
      <c r="D151" s="99" t="s">
        <v>87</v>
      </c>
      <c r="E151" s="106" t="s">
        <v>0</v>
      </c>
      <c r="F151" s="107" t="s">
        <v>408</v>
      </c>
      <c r="H151" s="106" t="s">
        <v>0</v>
      </c>
      <c r="I151" s="108"/>
      <c r="L151" s="105"/>
      <c r="M151" s="109"/>
      <c r="N151" s="110"/>
      <c r="O151" s="110"/>
      <c r="P151" s="110"/>
      <c r="Q151" s="110"/>
      <c r="R151" s="110"/>
      <c r="S151" s="110"/>
      <c r="T151" s="111"/>
      <c r="AT151" s="106" t="s">
        <v>87</v>
      </c>
      <c r="AU151" s="106" t="s">
        <v>47</v>
      </c>
      <c r="AV151" s="6" t="s">
        <v>46</v>
      </c>
      <c r="AW151" s="6" t="s">
        <v>19</v>
      </c>
      <c r="AX151" s="6" t="s">
        <v>45</v>
      </c>
      <c r="AY151" s="106" t="s">
        <v>75</v>
      </c>
    </row>
    <row r="152" spans="1:65" s="7" customFormat="1" x14ac:dyDescent="0.2">
      <c r="B152" s="112"/>
      <c r="D152" s="99" t="s">
        <v>87</v>
      </c>
      <c r="E152" s="113" t="s">
        <v>0</v>
      </c>
      <c r="F152" s="114" t="s">
        <v>540</v>
      </c>
      <c r="H152" s="115">
        <f>3.25*(2.2-0.45)*0.1</f>
        <v>0.56875000000000009</v>
      </c>
      <c r="I152" s="116"/>
      <c r="L152" s="112"/>
      <c r="M152" s="117"/>
      <c r="N152" s="118"/>
      <c r="O152" s="118"/>
      <c r="P152" s="118"/>
      <c r="Q152" s="118"/>
      <c r="R152" s="118"/>
      <c r="S152" s="118"/>
      <c r="T152" s="119"/>
      <c r="AT152" s="113" t="s">
        <v>87</v>
      </c>
      <c r="AU152" s="113" t="s">
        <v>47</v>
      </c>
      <c r="AV152" s="7" t="s">
        <v>47</v>
      </c>
      <c r="AW152" s="7" t="s">
        <v>19</v>
      </c>
      <c r="AX152" s="7" t="s">
        <v>45</v>
      </c>
      <c r="AY152" s="113" t="s">
        <v>75</v>
      </c>
    </row>
    <row r="153" spans="1:65" s="8" customFormat="1" x14ac:dyDescent="0.2">
      <c r="B153" s="120"/>
      <c r="D153" s="99" t="s">
        <v>87</v>
      </c>
      <c r="E153" s="121" t="s">
        <v>0</v>
      </c>
      <c r="F153" s="122" t="s">
        <v>88</v>
      </c>
      <c r="H153" s="123">
        <f>H150+H152</f>
        <v>5.6875000000000018</v>
      </c>
      <c r="I153" s="124"/>
      <c r="L153" s="120"/>
      <c r="M153" s="125"/>
      <c r="N153" s="126"/>
      <c r="O153" s="126"/>
      <c r="P153" s="126"/>
      <c r="Q153" s="126"/>
      <c r="R153" s="126"/>
      <c r="S153" s="126"/>
      <c r="T153" s="127"/>
      <c r="AT153" s="121" t="s">
        <v>87</v>
      </c>
      <c r="AU153" s="121" t="s">
        <v>47</v>
      </c>
      <c r="AV153" s="8" t="s">
        <v>48</v>
      </c>
      <c r="AW153" s="8" t="s">
        <v>19</v>
      </c>
      <c r="AX153" s="8" t="s">
        <v>45</v>
      </c>
      <c r="AY153" s="121" t="s">
        <v>75</v>
      </c>
    </row>
    <row r="154" spans="1:65" s="7" customFormat="1" x14ac:dyDescent="0.2">
      <c r="B154" s="112"/>
      <c r="D154" s="99" t="s">
        <v>87</v>
      </c>
      <c r="E154" s="113" t="s">
        <v>0</v>
      </c>
      <c r="F154" s="114" t="s">
        <v>541</v>
      </c>
      <c r="H154" s="115">
        <f>H153*0.5</f>
        <v>2.8437500000000009</v>
      </c>
      <c r="I154" s="116"/>
      <c r="L154" s="112"/>
      <c r="M154" s="117"/>
      <c r="N154" s="118"/>
      <c r="O154" s="118"/>
      <c r="P154" s="118"/>
      <c r="Q154" s="118"/>
      <c r="R154" s="118"/>
      <c r="S154" s="118"/>
      <c r="T154" s="119"/>
      <c r="AT154" s="113" t="s">
        <v>87</v>
      </c>
      <c r="AU154" s="113" t="s">
        <v>47</v>
      </c>
      <c r="AV154" s="7" t="s">
        <v>47</v>
      </c>
      <c r="AW154" s="7" t="s">
        <v>19</v>
      </c>
      <c r="AX154" s="7" t="s">
        <v>46</v>
      </c>
      <c r="AY154" s="113" t="s">
        <v>75</v>
      </c>
    </row>
    <row r="155" spans="1:65" s="1" customFormat="1" ht="24.2" customHeight="1" x14ac:dyDescent="0.2">
      <c r="A155" s="156"/>
      <c r="B155" s="85"/>
      <c r="C155" s="86" t="s">
        <v>228</v>
      </c>
      <c r="D155" s="86" t="s">
        <v>78</v>
      </c>
      <c r="E155" s="87" t="s">
        <v>90</v>
      </c>
      <c r="F155" s="88" t="s">
        <v>91</v>
      </c>
      <c r="G155" s="89" t="s">
        <v>81</v>
      </c>
      <c r="H155" s="90">
        <v>2.8439999999999999</v>
      </c>
      <c r="I155" s="91">
        <v>390.55963566140201</v>
      </c>
      <c r="J155" s="92">
        <f>ROUND(I155*H155,2)</f>
        <v>1110.75</v>
      </c>
      <c r="K155" s="88" t="s">
        <v>82</v>
      </c>
      <c r="L155" s="16"/>
      <c r="M155" s="93" t="s">
        <v>0</v>
      </c>
      <c r="N155" s="94" t="s">
        <v>27</v>
      </c>
      <c r="O155" s="27"/>
      <c r="P155" s="95">
        <f>O155*H155</f>
        <v>0</v>
      </c>
      <c r="Q155" s="95">
        <v>0</v>
      </c>
      <c r="R155" s="95">
        <f>Q155*H155</f>
        <v>0</v>
      </c>
      <c r="S155" s="95">
        <v>0</v>
      </c>
      <c r="T155" s="96">
        <f>S155*H155</f>
        <v>0</v>
      </c>
      <c r="U155" s="156"/>
      <c r="V155" s="156"/>
      <c r="W155" s="156"/>
      <c r="X155" s="156"/>
      <c r="Y155" s="156"/>
      <c r="Z155" s="156"/>
      <c r="AA155" s="156"/>
      <c r="AB155" s="156"/>
      <c r="AC155" s="156"/>
      <c r="AD155" s="156"/>
      <c r="AE155" s="156"/>
      <c r="AR155" s="97" t="s">
        <v>83</v>
      </c>
      <c r="AT155" s="97" t="s">
        <v>78</v>
      </c>
      <c r="AU155" s="97" t="s">
        <v>47</v>
      </c>
      <c r="AY155" s="10" t="s">
        <v>75</v>
      </c>
      <c r="BE155" s="98">
        <f>IF(N155="základní",J155,0)</f>
        <v>1110.75</v>
      </c>
      <c r="BF155" s="98">
        <f>IF(N155="snížená",J155,0)</f>
        <v>0</v>
      </c>
      <c r="BG155" s="98">
        <f>IF(N155="zákl. přenesená",J155,0)</f>
        <v>0</v>
      </c>
      <c r="BH155" s="98">
        <f>IF(N155="sníž. přenesená",J155,0)</f>
        <v>0</v>
      </c>
      <c r="BI155" s="98">
        <f>IF(N155="nulová",J155,0)</f>
        <v>0</v>
      </c>
      <c r="BJ155" s="10" t="s">
        <v>46</v>
      </c>
      <c r="BK155" s="98">
        <f>ROUND(I155*H155,2)</f>
        <v>1110.75</v>
      </c>
      <c r="BL155" s="10" t="s">
        <v>83</v>
      </c>
      <c r="BM155" s="97" t="s">
        <v>229</v>
      </c>
    </row>
    <row r="156" spans="1:65" s="1" customFormat="1" ht="39" x14ac:dyDescent="0.2">
      <c r="A156" s="156"/>
      <c r="B156" s="16"/>
      <c r="C156" s="156"/>
      <c r="D156" s="99" t="s">
        <v>84</v>
      </c>
      <c r="E156" s="156"/>
      <c r="F156" s="100" t="s">
        <v>92</v>
      </c>
      <c r="G156" s="156"/>
      <c r="H156" s="156"/>
      <c r="I156" s="101"/>
      <c r="J156" s="156"/>
      <c r="K156" s="156"/>
      <c r="L156" s="16"/>
      <c r="M156" s="102"/>
      <c r="N156" s="103"/>
      <c r="O156" s="27"/>
      <c r="P156" s="27"/>
      <c r="Q156" s="27"/>
      <c r="R156" s="27"/>
      <c r="S156" s="27"/>
      <c r="T156" s="28"/>
      <c r="U156" s="156"/>
      <c r="V156" s="156"/>
      <c r="W156" s="156"/>
      <c r="X156" s="156"/>
      <c r="Y156" s="156"/>
      <c r="Z156" s="156"/>
      <c r="AA156" s="156"/>
      <c r="AB156" s="156"/>
      <c r="AC156" s="156"/>
      <c r="AD156" s="156"/>
      <c r="AE156" s="156"/>
      <c r="AT156" s="10" t="s">
        <v>84</v>
      </c>
      <c r="AU156" s="10" t="s">
        <v>47</v>
      </c>
    </row>
    <row r="157" spans="1:65" s="1" customFormat="1" ht="39" x14ac:dyDescent="0.2">
      <c r="A157" s="156"/>
      <c r="B157" s="16"/>
      <c r="C157" s="156"/>
      <c r="D157" s="99" t="s">
        <v>86</v>
      </c>
      <c r="E157" s="156"/>
      <c r="F157" s="104" t="s">
        <v>415</v>
      </c>
      <c r="G157" s="156"/>
      <c r="H157" s="156"/>
      <c r="I157" s="101"/>
      <c r="J157" s="156"/>
      <c r="K157" s="156"/>
      <c r="L157" s="16"/>
      <c r="M157" s="102"/>
      <c r="N157" s="103"/>
      <c r="O157" s="27"/>
      <c r="P157" s="27"/>
      <c r="Q157" s="27"/>
      <c r="R157" s="27"/>
      <c r="S157" s="27"/>
      <c r="T157" s="28"/>
      <c r="U157" s="156"/>
      <c r="V157" s="156"/>
      <c r="W157" s="156"/>
      <c r="X157" s="156"/>
      <c r="Y157" s="156"/>
      <c r="Z157" s="156"/>
      <c r="AA157" s="156"/>
      <c r="AB157" s="156"/>
      <c r="AC157" s="156"/>
      <c r="AD157" s="156"/>
      <c r="AE157" s="156"/>
      <c r="AT157" s="10" t="s">
        <v>86</v>
      </c>
      <c r="AU157" s="10" t="s">
        <v>47</v>
      </c>
    </row>
    <row r="158" spans="1:65" s="1" customFormat="1" ht="24.2" customHeight="1" x14ac:dyDescent="0.2">
      <c r="A158" s="156"/>
      <c r="B158" s="85"/>
      <c r="C158" s="86" t="s">
        <v>230</v>
      </c>
      <c r="D158" s="86" t="s">
        <v>78</v>
      </c>
      <c r="E158" s="87" t="s">
        <v>94</v>
      </c>
      <c r="F158" s="88" t="s">
        <v>95</v>
      </c>
      <c r="G158" s="89" t="s">
        <v>81</v>
      </c>
      <c r="H158" s="90">
        <v>1.1379999999999999</v>
      </c>
      <c r="I158" s="91">
        <v>650.27058629099099</v>
      </c>
      <c r="J158" s="92">
        <f>ROUND(I158*H158,2)</f>
        <v>740.01</v>
      </c>
      <c r="K158" s="88" t="s">
        <v>82</v>
      </c>
      <c r="L158" s="16"/>
      <c r="M158" s="93" t="s">
        <v>0</v>
      </c>
      <c r="N158" s="94" t="s">
        <v>27</v>
      </c>
      <c r="O158" s="27"/>
      <c r="P158" s="95">
        <f>O158*H158</f>
        <v>0</v>
      </c>
      <c r="Q158" s="95">
        <v>0</v>
      </c>
      <c r="R158" s="95">
        <f>Q158*H158</f>
        <v>0</v>
      </c>
      <c r="S158" s="95">
        <v>0</v>
      </c>
      <c r="T158" s="96">
        <f>S158*H158</f>
        <v>0</v>
      </c>
      <c r="U158" s="156"/>
      <c r="V158" s="156"/>
      <c r="W158" s="156"/>
      <c r="X158" s="156"/>
      <c r="Y158" s="156"/>
      <c r="Z158" s="156"/>
      <c r="AA158" s="156"/>
      <c r="AB158" s="156"/>
      <c r="AC158" s="156"/>
      <c r="AD158" s="156"/>
      <c r="AE158" s="156"/>
      <c r="AR158" s="97" t="s">
        <v>83</v>
      </c>
      <c r="AT158" s="97" t="s">
        <v>78</v>
      </c>
      <c r="AU158" s="97" t="s">
        <v>47</v>
      </c>
      <c r="AY158" s="10" t="s">
        <v>75</v>
      </c>
      <c r="BE158" s="98">
        <f>IF(N158="základní",J158,0)</f>
        <v>740.01</v>
      </c>
      <c r="BF158" s="98">
        <f>IF(N158="snížená",J158,0)</f>
        <v>0</v>
      </c>
      <c r="BG158" s="98">
        <f>IF(N158="zákl. přenesená",J158,0)</f>
        <v>0</v>
      </c>
      <c r="BH158" s="98">
        <f>IF(N158="sníž. přenesená",J158,0)</f>
        <v>0</v>
      </c>
      <c r="BI158" s="98">
        <f>IF(N158="nulová",J158,0)</f>
        <v>0</v>
      </c>
      <c r="BJ158" s="10" t="s">
        <v>46</v>
      </c>
      <c r="BK158" s="98">
        <f>ROUND(I158*H158,2)</f>
        <v>740.01</v>
      </c>
      <c r="BL158" s="10" t="s">
        <v>83</v>
      </c>
      <c r="BM158" s="97" t="s">
        <v>231</v>
      </c>
    </row>
    <row r="159" spans="1:65" s="1" customFormat="1" ht="29.25" x14ac:dyDescent="0.2">
      <c r="A159" s="156"/>
      <c r="B159" s="16"/>
      <c r="C159" s="156"/>
      <c r="D159" s="99" t="s">
        <v>84</v>
      </c>
      <c r="E159" s="156"/>
      <c r="F159" s="100" t="s">
        <v>96</v>
      </c>
      <c r="G159" s="156"/>
      <c r="H159" s="156"/>
      <c r="I159" s="101"/>
      <c r="J159" s="156"/>
      <c r="K159" s="156"/>
      <c r="L159" s="16"/>
      <c r="M159" s="102"/>
      <c r="N159" s="103"/>
      <c r="O159" s="27"/>
      <c r="P159" s="27"/>
      <c r="Q159" s="27"/>
      <c r="R159" s="27"/>
      <c r="S159" s="27"/>
      <c r="T159" s="28"/>
      <c r="U159" s="156"/>
      <c r="V159" s="156"/>
      <c r="W159" s="156"/>
      <c r="X159" s="156"/>
      <c r="Y159" s="156"/>
      <c r="Z159" s="156"/>
      <c r="AA159" s="156"/>
      <c r="AB159" s="156"/>
      <c r="AC159" s="156"/>
      <c r="AD159" s="156"/>
      <c r="AE159" s="156"/>
      <c r="AT159" s="10" t="s">
        <v>84</v>
      </c>
      <c r="AU159" s="10" t="s">
        <v>47</v>
      </c>
    </row>
    <row r="160" spans="1:65" s="6" customFormat="1" x14ac:dyDescent="0.2">
      <c r="B160" s="105"/>
      <c r="D160" s="99" t="s">
        <v>87</v>
      </c>
      <c r="E160" s="106" t="s">
        <v>0</v>
      </c>
      <c r="F160" s="107" t="s">
        <v>97</v>
      </c>
      <c r="H160" s="106" t="s">
        <v>0</v>
      </c>
      <c r="I160" s="108"/>
      <c r="L160" s="105"/>
      <c r="M160" s="109"/>
      <c r="N160" s="110"/>
      <c r="O160" s="110"/>
      <c r="P160" s="110"/>
      <c r="Q160" s="110"/>
      <c r="R160" s="110"/>
      <c r="S160" s="110"/>
      <c r="T160" s="111"/>
      <c r="AT160" s="106" t="s">
        <v>87</v>
      </c>
      <c r="AU160" s="106" t="s">
        <v>47</v>
      </c>
      <c r="AV160" s="6" t="s">
        <v>46</v>
      </c>
      <c r="AW160" s="6" t="s">
        <v>19</v>
      </c>
      <c r="AX160" s="6" t="s">
        <v>45</v>
      </c>
      <c r="AY160" s="106" t="s">
        <v>75</v>
      </c>
    </row>
    <row r="161" spans="1:65" s="7" customFormat="1" x14ac:dyDescent="0.2">
      <c r="B161" s="112"/>
      <c r="D161" s="99" t="s">
        <v>87</v>
      </c>
      <c r="E161" s="113" t="s">
        <v>0</v>
      </c>
      <c r="F161" s="114" t="s">
        <v>542</v>
      </c>
      <c r="H161" s="115">
        <f>5.688*0.2</f>
        <v>1.1375999999999999</v>
      </c>
      <c r="I161" s="116"/>
      <c r="L161" s="112"/>
      <c r="M161" s="117"/>
      <c r="N161" s="118"/>
      <c r="O161" s="118"/>
      <c r="P161" s="118"/>
      <c r="Q161" s="118"/>
      <c r="R161" s="118"/>
      <c r="S161" s="118"/>
      <c r="T161" s="119"/>
      <c r="AT161" s="113" t="s">
        <v>87</v>
      </c>
      <c r="AU161" s="113" t="s">
        <v>47</v>
      </c>
      <c r="AV161" s="7" t="s">
        <v>47</v>
      </c>
      <c r="AW161" s="7" t="s">
        <v>19</v>
      </c>
      <c r="AX161" s="7" t="s">
        <v>46</v>
      </c>
      <c r="AY161" s="113" t="s">
        <v>75</v>
      </c>
    </row>
    <row r="162" spans="1:65" s="1" customFormat="1" ht="14.45" customHeight="1" x14ac:dyDescent="0.2">
      <c r="A162" s="156"/>
      <c r="B162" s="85"/>
      <c r="C162" s="86" t="s">
        <v>129</v>
      </c>
      <c r="D162" s="86" t="s">
        <v>78</v>
      </c>
      <c r="E162" s="87" t="s">
        <v>98</v>
      </c>
      <c r="F162" s="88" t="s">
        <v>99</v>
      </c>
      <c r="G162" s="89" t="s">
        <v>100</v>
      </c>
      <c r="H162" s="90">
        <v>14.3</v>
      </c>
      <c r="I162" s="91">
        <v>156.6895922457376</v>
      </c>
      <c r="J162" s="92">
        <f>ROUND(I162*H162,2)</f>
        <v>2240.66</v>
      </c>
      <c r="K162" s="88" t="s">
        <v>82</v>
      </c>
      <c r="L162" s="16"/>
      <c r="M162" s="93" t="s">
        <v>0</v>
      </c>
      <c r="N162" s="94" t="s">
        <v>27</v>
      </c>
      <c r="O162" s="27"/>
      <c r="P162" s="95">
        <f>O162*H162</f>
        <v>0</v>
      </c>
      <c r="Q162" s="95">
        <v>5.9000000000000003E-4</v>
      </c>
      <c r="R162" s="95">
        <f>Q162*H162</f>
        <v>8.4370000000000001E-3</v>
      </c>
      <c r="S162" s="95">
        <v>0</v>
      </c>
      <c r="T162" s="96">
        <f>S162*H162</f>
        <v>0</v>
      </c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R162" s="97" t="s">
        <v>83</v>
      </c>
      <c r="AT162" s="97" t="s">
        <v>78</v>
      </c>
      <c r="AU162" s="97" t="s">
        <v>47</v>
      </c>
      <c r="AY162" s="10" t="s">
        <v>75</v>
      </c>
      <c r="BE162" s="98">
        <f>IF(N162="základní",J162,0)</f>
        <v>2240.66</v>
      </c>
      <c r="BF162" s="98">
        <f>IF(N162="snížená",J162,0)</f>
        <v>0</v>
      </c>
      <c r="BG162" s="98">
        <f>IF(N162="zákl. přenesená",J162,0)</f>
        <v>0</v>
      </c>
      <c r="BH162" s="98">
        <f>IF(N162="sníž. přenesená",J162,0)</f>
        <v>0</v>
      </c>
      <c r="BI162" s="98">
        <f>IF(N162="nulová",J162,0)</f>
        <v>0</v>
      </c>
      <c r="BJ162" s="10" t="s">
        <v>46</v>
      </c>
      <c r="BK162" s="98">
        <f>ROUND(I162*H162,2)</f>
        <v>2240.66</v>
      </c>
      <c r="BL162" s="10" t="s">
        <v>83</v>
      </c>
      <c r="BM162" s="97" t="s">
        <v>232</v>
      </c>
    </row>
    <row r="163" spans="1:65" s="1" customFormat="1" ht="19.5" x14ac:dyDescent="0.2">
      <c r="A163" s="156"/>
      <c r="B163" s="16"/>
      <c r="C163" s="156"/>
      <c r="D163" s="99" t="s">
        <v>84</v>
      </c>
      <c r="E163" s="156"/>
      <c r="F163" s="100" t="s">
        <v>101</v>
      </c>
      <c r="G163" s="156"/>
      <c r="H163" s="156"/>
      <c r="I163" s="101"/>
      <c r="J163" s="156"/>
      <c r="K163" s="156"/>
      <c r="L163" s="16"/>
      <c r="M163" s="102"/>
      <c r="N163" s="103"/>
      <c r="O163" s="27"/>
      <c r="P163" s="27"/>
      <c r="Q163" s="27"/>
      <c r="R163" s="27"/>
      <c r="S163" s="27"/>
      <c r="T163" s="28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T163" s="10" t="s">
        <v>84</v>
      </c>
      <c r="AU163" s="10" t="s">
        <v>47</v>
      </c>
    </row>
    <row r="164" spans="1:65" s="1" customFormat="1" ht="29.25" x14ac:dyDescent="0.2">
      <c r="A164" s="156"/>
      <c r="B164" s="16"/>
      <c r="C164" s="156"/>
      <c r="D164" s="99" t="s">
        <v>86</v>
      </c>
      <c r="E164" s="156"/>
      <c r="F164" s="104" t="s">
        <v>414</v>
      </c>
      <c r="G164" s="156"/>
      <c r="H164" s="156"/>
      <c r="I164" s="101"/>
      <c r="J164" s="156"/>
      <c r="K164" s="156"/>
      <c r="L164" s="16"/>
      <c r="M164" s="102"/>
      <c r="N164" s="103"/>
      <c r="O164" s="27"/>
      <c r="P164" s="27"/>
      <c r="Q164" s="27"/>
      <c r="R164" s="27"/>
      <c r="S164" s="27"/>
      <c r="T164" s="28"/>
      <c r="U164" s="156"/>
      <c r="V164" s="156"/>
      <c r="W164" s="156"/>
      <c r="X164" s="156"/>
      <c r="Y164" s="156"/>
      <c r="Z164" s="156"/>
      <c r="AA164" s="156"/>
      <c r="AB164" s="156"/>
      <c r="AC164" s="156"/>
      <c r="AD164" s="156"/>
      <c r="AE164" s="156"/>
      <c r="AT164" s="10" t="s">
        <v>86</v>
      </c>
      <c r="AU164" s="10" t="s">
        <v>47</v>
      </c>
    </row>
    <row r="165" spans="1:65" s="7" customFormat="1" x14ac:dyDescent="0.2">
      <c r="B165" s="112"/>
      <c r="D165" s="99" t="s">
        <v>87</v>
      </c>
      <c r="E165" s="113" t="s">
        <v>0</v>
      </c>
      <c r="F165" s="114" t="s">
        <v>543</v>
      </c>
      <c r="H165" s="115">
        <f>3.25*2.2*2</f>
        <v>14.3</v>
      </c>
      <c r="I165" s="116"/>
      <c r="L165" s="112"/>
      <c r="M165" s="117"/>
      <c r="N165" s="118"/>
      <c r="O165" s="118"/>
      <c r="P165" s="118"/>
      <c r="Q165" s="118"/>
      <c r="R165" s="118"/>
      <c r="S165" s="118"/>
      <c r="T165" s="119"/>
      <c r="AT165" s="113" t="s">
        <v>87</v>
      </c>
      <c r="AU165" s="113" t="s">
        <v>47</v>
      </c>
      <c r="AV165" s="7" t="s">
        <v>47</v>
      </c>
      <c r="AW165" s="7" t="s">
        <v>19</v>
      </c>
      <c r="AX165" s="7" t="s">
        <v>46</v>
      </c>
      <c r="AY165" s="113" t="s">
        <v>75</v>
      </c>
    </row>
    <row r="166" spans="1:65" s="1" customFormat="1" ht="14.45" customHeight="1" x14ac:dyDescent="0.2">
      <c r="A166" s="156"/>
      <c r="B166" s="85"/>
      <c r="C166" s="86" t="s">
        <v>233</v>
      </c>
      <c r="D166" s="86" t="s">
        <v>78</v>
      </c>
      <c r="E166" s="87" t="s">
        <v>105</v>
      </c>
      <c r="F166" s="88" t="s">
        <v>106</v>
      </c>
      <c r="G166" s="89" t="s">
        <v>100</v>
      </c>
      <c r="H166" s="90">
        <v>14.3</v>
      </c>
      <c r="I166" s="91">
        <v>103.33666316345877</v>
      </c>
      <c r="J166" s="92">
        <f>ROUND(I166*H166,2)</f>
        <v>1477.71</v>
      </c>
      <c r="K166" s="88" t="s">
        <v>82</v>
      </c>
      <c r="L166" s="16"/>
      <c r="M166" s="93" t="s">
        <v>0</v>
      </c>
      <c r="N166" s="94" t="s">
        <v>27</v>
      </c>
      <c r="O166" s="27"/>
      <c r="P166" s="95">
        <f>O166*H166</f>
        <v>0</v>
      </c>
      <c r="Q166" s="95">
        <v>0</v>
      </c>
      <c r="R166" s="95">
        <f>Q166*H166</f>
        <v>0</v>
      </c>
      <c r="S166" s="95">
        <v>0</v>
      </c>
      <c r="T166" s="96">
        <f>S166*H166</f>
        <v>0</v>
      </c>
      <c r="U166" s="156"/>
      <c r="V166" s="156"/>
      <c r="W166" s="156"/>
      <c r="X166" s="156"/>
      <c r="Y166" s="156"/>
      <c r="Z166" s="156"/>
      <c r="AA166" s="156"/>
      <c r="AB166" s="156"/>
      <c r="AC166" s="156"/>
      <c r="AD166" s="156"/>
      <c r="AE166" s="156"/>
      <c r="AR166" s="97" t="s">
        <v>83</v>
      </c>
      <c r="AT166" s="97" t="s">
        <v>78</v>
      </c>
      <c r="AU166" s="97" t="s">
        <v>47</v>
      </c>
      <c r="AY166" s="10" t="s">
        <v>75</v>
      </c>
      <c r="BE166" s="98">
        <f>IF(N166="základní",J166,0)</f>
        <v>1477.71</v>
      </c>
      <c r="BF166" s="98">
        <f>IF(N166="snížená",J166,0)</f>
        <v>0</v>
      </c>
      <c r="BG166" s="98">
        <f>IF(N166="zákl. přenesená",J166,0)</f>
        <v>0</v>
      </c>
      <c r="BH166" s="98">
        <f>IF(N166="sníž. přenesená",J166,0)</f>
        <v>0</v>
      </c>
      <c r="BI166" s="98">
        <f>IF(N166="nulová",J166,0)</f>
        <v>0</v>
      </c>
      <c r="BJ166" s="10" t="s">
        <v>46</v>
      </c>
      <c r="BK166" s="98">
        <f>ROUND(I166*H166,2)</f>
        <v>1477.71</v>
      </c>
      <c r="BL166" s="10" t="s">
        <v>83</v>
      </c>
      <c r="BM166" s="97" t="s">
        <v>234</v>
      </c>
    </row>
    <row r="167" spans="1:65" s="1" customFormat="1" ht="19.5" x14ac:dyDescent="0.2">
      <c r="A167" s="156"/>
      <c r="B167" s="16"/>
      <c r="C167" s="156"/>
      <c r="D167" s="99" t="s">
        <v>84</v>
      </c>
      <c r="E167" s="156"/>
      <c r="F167" s="100" t="s">
        <v>107</v>
      </c>
      <c r="G167" s="156"/>
      <c r="H167" s="156"/>
      <c r="I167" s="101"/>
      <c r="J167" s="156"/>
      <c r="K167" s="156"/>
      <c r="L167" s="16"/>
      <c r="M167" s="102"/>
      <c r="N167" s="103"/>
      <c r="O167" s="27"/>
      <c r="P167" s="27"/>
      <c r="Q167" s="27"/>
      <c r="R167" s="27"/>
      <c r="S167" s="27"/>
      <c r="T167" s="28"/>
      <c r="U167" s="156"/>
      <c r="V167" s="156"/>
      <c r="W167" s="156"/>
      <c r="X167" s="156"/>
      <c r="Y167" s="156"/>
      <c r="Z167" s="156"/>
      <c r="AA167" s="156"/>
      <c r="AB167" s="156"/>
      <c r="AC167" s="156"/>
      <c r="AD167" s="156"/>
      <c r="AE167" s="156"/>
      <c r="AT167" s="10" t="s">
        <v>84</v>
      </c>
      <c r="AU167" s="10" t="s">
        <v>47</v>
      </c>
    </row>
    <row r="168" spans="1:65" s="1" customFormat="1" ht="37.9" customHeight="1" x14ac:dyDescent="0.2">
      <c r="A168" s="156"/>
      <c r="B168" s="85"/>
      <c r="C168" s="86" t="s">
        <v>235</v>
      </c>
      <c r="D168" s="86" t="s">
        <v>78</v>
      </c>
      <c r="E168" s="87" t="s">
        <v>109</v>
      </c>
      <c r="F168" s="88" t="s">
        <v>110</v>
      </c>
      <c r="G168" s="89" t="s">
        <v>81</v>
      </c>
      <c r="H168" s="90">
        <v>5.6879999999999997</v>
      </c>
      <c r="I168" s="91">
        <v>282.06861194786097</v>
      </c>
      <c r="J168" s="92">
        <f>ROUND(I168*H168,2)</f>
        <v>1604.41</v>
      </c>
      <c r="K168" s="88" t="s">
        <v>82</v>
      </c>
      <c r="L168" s="16"/>
      <c r="M168" s="93" t="s">
        <v>0</v>
      </c>
      <c r="N168" s="94" t="s">
        <v>27</v>
      </c>
      <c r="O168" s="27"/>
      <c r="P168" s="95">
        <f>O168*H168</f>
        <v>0</v>
      </c>
      <c r="Q168" s="95">
        <v>0</v>
      </c>
      <c r="R168" s="95">
        <f>Q168*H168</f>
        <v>0</v>
      </c>
      <c r="S168" s="95">
        <v>0</v>
      </c>
      <c r="T168" s="96">
        <f>S168*H168</f>
        <v>0</v>
      </c>
      <c r="U168" s="156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R168" s="97" t="s">
        <v>83</v>
      </c>
      <c r="AT168" s="97" t="s">
        <v>78</v>
      </c>
      <c r="AU168" s="97" t="s">
        <v>47</v>
      </c>
      <c r="AY168" s="10" t="s">
        <v>75</v>
      </c>
      <c r="BE168" s="98">
        <f>IF(N168="základní",J168,0)</f>
        <v>1604.41</v>
      </c>
      <c r="BF168" s="98">
        <f>IF(N168="snížená",J168,0)</f>
        <v>0</v>
      </c>
      <c r="BG168" s="98">
        <f>IF(N168="zákl. přenesená",J168,0)</f>
        <v>0</v>
      </c>
      <c r="BH168" s="98">
        <f>IF(N168="sníž. přenesená",J168,0)</f>
        <v>0</v>
      </c>
      <c r="BI168" s="98">
        <f>IF(N168="nulová",J168,0)</f>
        <v>0</v>
      </c>
      <c r="BJ168" s="10" t="s">
        <v>46</v>
      </c>
      <c r="BK168" s="98">
        <f>ROUND(I168*H168,2)</f>
        <v>1604.41</v>
      </c>
      <c r="BL168" s="10" t="s">
        <v>83</v>
      </c>
      <c r="BM168" s="97" t="s">
        <v>236</v>
      </c>
    </row>
    <row r="169" spans="1:65" s="1" customFormat="1" ht="39" x14ac:dyDescent="0.2">
      <c r="A169" s="156"/>
      <c r="B169" s="16"/>
      <c r="C169" s="156"/>
      <c r="D169" s="99" t="s">
        <v>84</v>
      </c>
      <c r="E169" s="156"/>
      <c r="F169" s="100" t="s">
        <v>111</v>
      </c>
      <c r="G169" s="156"/>
      <c r="H169" s="156"/>
      <c r="I169" s="101"/>
      <c r="J169" s="156"/>
      <c r="K169" s="156"/>
      <c r="L169" s="16"/>
      <c r="M169" s="102"/>
      <c r="N169" s="103"/>
      <c r="O169" s="27"/>
      <c r="P169" s="27"/>
      <c r="Q169" s="27"/>
      <c r="R169" s="27"/>
      <c r="S169" s="27"/>
      <c r="T169" s="28"/>
      <c r="U169" s="156"/>
      <c r="V169" s="156"/>
      <c r="W169" s="156"/>
      <c r="X169" s="156"/>
      <c r="Y169" s="156"/>
      <c r="Z169" s="156"/>
      <c r="AA169" s="156"/>
      <c r="AB169" s="156"/>
      <c r="AC169" s="156"/>
      <c r="AD169" s="156"/>
      <c r="AE169" s="156"/>
      <c r="AT169" s="10" t="s">
        <v>84</v>
      </c>
      <c r="AU169" s="10" t="s">
        <v>47</v>
      </c>
    </row>
    <row r="170" spans="1:65" s="6" customFormat="1" x14ac:dyDescent="0.2">
      <c r="B170" s="105"/>
      <c r="D170" s="99" t="s">
        <v>87</v>
      </c>
      <c r="E170" s="106" t="s">
        <v>0</v>
      </c>
      <c r="F170" s="107" t="s">
        <v>140</v>
      </c>
      <c r="H170" s="106" t="s">
        <v>0</v>
      </c>
      <c r="I170" s="108"/>
      <c r="L170" s="105"/>
      <c r="M170" s="109"/>
      <c r="N170" s="110"/>
      <c r="O170" s="110"/>
      <c r="P170" s="110"/>
      <c r="Q170" s="110"/>
      <c r="R170" s="110"/>
      <c r="S170" s="110"/>
      <c r="T170" s="111"/>
      <c r="AT170" s="106" t="s">
        <v>87</v>
      </c>
      <c r="AU170" s="106" t="s">
        <v>47</v>
      </c>
      <c r="AV170" s="6" t="s">
        <v>46</v>
      </c>
      <c r="AW170" s="6" t="s">
        <v>19</v>
      </c>
      <c r="AX170" s="6" t="s">
        <v>45</v>
      </c>
      <c r="AY170" s="106" t="s">
        <v>75</v>
      </c>
    </row>
    <row r="171" spans="1:65" s="7" customFormat="1" x14ac:dyDescent="0.2">
      <c r="B171" s="112"/>
      <c r="D171" s="99" t="s">
        <v>87</v>
      </c>
      <c r="E171" s="113" t="s">
        <v>0</v>
      </c>
      <c r="F171" s="114"/>
      <c r="H171" s="115">
        <v>5.6879999999999997</v>
      </c>
      <c r="I171" s="116"/>
      <c r="L171" s="112"/>
      <c r="M171" s="117"/>
      <c r="N171" s="118"/>
      <c r="O171" s="118"/>
      <c r="P171" s="118"/>
      <c r="Q171" s="118"/>
      <c r="R171" s="118"/>
      <c r="S171" s="118"/>
      <c r="T171" s="119"/>
      <c r="AT171" s="113" t="s">
        <v>87</v>
      </c>
      <c r="AU171" s="113" t="s">
        <v>47</v>
      </c>
      <c r="AV171" s="7" t="s">
        <v>47</v>
      </c>
      <c r="AW171" s="7" t="s">
        <v>19</v>
      </c>
      <c r="AX171" s="7" t="s">
        <v>45</v>
      </c>
      <c r="AY171" s="113" t="s">
        <v>75</v>
      </c>
    </row>
    <row r="172" spans="1:65" s="1" customFormat="1" ht="37.9" customHeight="1" x14ac:dyDescent="0.2">
      <c r="A172" s="156"/>
      <c r="B172" s="85"/>
      <c r="C172" s="86" t="s">
        <v>237</v>
      </c>
      <c r="D172" s="86" t="s">
        <v>78</v>
      </c>
      <c r="E172" s="87" t="s">
        <v>238</v>
      </c>
      <c r="F172" s="88" t="s">
        <v>239</v>
      </c>
      <c r="G172" s="89" t="s">
        <v>81</v>
      </c>
      <c r="H172" s="90">
        <v>0.56879999999999997</v>
      </c>
      <c r="I172" s="91">
        <v>262.06861194786097</v>
      </c>
      <c r="J172" s="92">
        <f>ROUND(I172*H172,2)</f>
        <v>149.06</v>
      </c>
      <c r="K172" s="88" t="s">
        <v>0</v>
      </c>
      <c r="L172" s="16"/>
      <c r="M172" s="93" t="s">
        <v>0</v>
      </c>
      <c r="N172" s="94" t="s">
        <v>27</v>
      </c>
      <c r="O172" s="27"/>
      <c r="P172" s="95">
        <f>O172*H172</f>
        <v>0</v>
      </c>
      <c r="Q172" s="95">
        <v>0</v>
      </c>
      <c r="R172" s="95">
        <f>Q172*H172</f>
        <v>0</v>
      </c>
      <c r="S172" s="95">
        <v>0</v>
      </c>
      <c r="T172" s="96">
        <f>S172*H172</f>
        <v>0</v>
      </c>
      <c r="U172" s="156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R172" s="97" t="s">
        <v>83</v>
      </c>
      <c r="AT172" s="97" t="s">
        <v>78</v>
      </c>
      <c r="AU172" s="97" t="s">
        <v>47</v>
      </c>
      <c r="AY172" s="10" t="s">
        <v>75</v>
      </c>
      <c r="BE172" s="98">
        <f>IF(N172="základní",J172,0)</f>
        <v>149.06</v>
      </c>
      <c r="BF172" s="98">
        <f>IF(N172="snížená",J172,0)</f>
        <v>0</v>
      </c>
      <c r="BG172" s="98">
        <f>IF(N172="zákl. přenesená",J172,0)</f>
        <v>0</v>
      </c>
      <c r="BH172" s="98">
        <f>IF(N172="sníž. přenesená",J172,0)</f>
        <v>0</v>
      </c>
      <c r="BI172" s="98">
        <f>IF(N172="nulová",J172,0)</f>
        <v>0</v>
      </c>
      <c r="BJ172" s="10" t="s">
        <v>46</v>
      </c>
      <c r="BK172" s="98">
        <f>ROUND(I172*H172,2)</f>
        <v>149.06</v>
      </c>
      <c r="BL172" s="10" t="s">
        <v>83</v>
      </c>
      <c r="BM172" s="97" t="s">
        <v>240</v>
      </c>
    </row>
    <row r="173" spans="1:65" s="1" customFormat="1" ht="39" x14ac:dyDescent="0.2">
      <c r="A173" s="156"/>
      <c r="B173" s="16"/>
      <c r="C173" s="156"/>
      <c r="D173" s="99" t="s">
        <v>84</v>
      </c>
      <c r="E173" s="156"/>
      <c r="F173" s="100" t="s">
        <v>111</v>
      </c>
      <c r="G173" s="156"/>
      <c r="H173" s="172">
        <v>0.56879999999999997</v>
      </c>
      <c r="I173" s="101"/>
      <c r="J173" s="156"/>
      <c r="K173" s="156"/>
      <c r="L173" s="16"/>
      <c r="M173" s="102"/>
      <c r="N173" s="103"/>
      <c r="O173" s="27"/>
      <c r="P173" s="27"/>
      <c r="Q173" s="27"/>
      <c r="R173" s="27"/>
      <c r="S173" s="27"/>
      <c r="T173" s="28"/>
      <c r="U173" s="156"/>
      <c r="V173" s="156"/>
      <c r="W173" s="156"/>
      <c r="X173" s="156"/>
      <c r="Y173" s="156"/>
      <c r="Z173" s="156"/>
      <c r="AA173" s="156"/>
      <c r="AB173" s="156"/>
      <c r="AC173" s="156"/>
      <c r="AD173" s="156"/>
      <c r="AE173" s="156"/>
      <c r="AT173" s="10" t="s">
        <v>84</v>
      </c>
      <c r="AU173" s="10" t="s">
        <v>47</v>
      </c>
    </row>
    <row r="174" spans="1:65" s="1" customFormat="1" ht="37.9" customHeight="1" x14ac:dyDescent="0.2">
      <c r="A174" s="156"/>
      <c r="B174" s="85"/>
      <c r="C174" s="86" t="s">
        <v>77</v>
      </c>
      <c r="D174" s="86" t="s">
        <v>78</v>
      </c>
      <c r="E174" s="87" t="s">
        <v>113</v>
      </c>
      <c r="F174" s="88" t="s">
        <v>114</v>
      </c>
      <c r="G174" s="89" t="s">
        <v>81</v>
      </c>
      <c r="H174" s="90">
        <v>28.44</v>
      </c>
      <c r="I174" s="91">
        <v>3.4208109177592001</v>
      </c>
      <c r="J174" s="92">
        <f>ROUND(I174*H174,2)</f>
        <v>97.29</v>
      </c>
      <c r="K174" s="88" t="s">
        <v>82</v>
      </c>
      <c r="L174" s="16"/>
      <c r="M174" s="93" t="s">
        <v>0</v>
      </c>
      <c r="N174" s="94" t="s">
        <v>27</v>
      </c>
      <c r="O174" s="27"/>
      <c r="P174" s="95">
        <f>O174*H174</f>
        <v>0</v>
      </c>
      <c r="Q174" s="95">
        <v>0</v>
      </c>
      <c r="R174" s="95">
        <f>Q174*H174</f>
        <v>0</v>
      </c>
      <c r="S174" s="95">
        <v>0</v>
      </c>
      <c r="T174" s="96">
        <f>S174*H174</f>
        <v>0</v>
      </c>
      <c r="U174" s="156"/>
      <c r="V174" s="156"/>
      <c r="W174" s="156"/>
      <c r="X174" s="156"/>
      <c r="Y174" s="156"/>
      <c r="Z174" s="156"/>
      <c r="AA174" s="156"/>
      <c r="AB174" s="156"/>
      <c r="AC174" s="156"/>
      <c r="AD174" s="156"/>
      <c r="AE174" s="156"/>
      <c r="AR174" s="97" t="s">
        <v>83</v>
      </c>
      <c r="AT174" s="97" t="s">
        <v>78</v>
      </c>
      <c r="AU174" s="97" t="s">
        <v>47</v>
      </c>
      <c r="AY174" s="10" t="s">
        <v>75</v>
      </c>
      <c r="BE174" s="98">
        <f>IF(N174="základní",J174,0)</f>
        <v>97.29</v>
      </c>
      <c r="BF174" s="98">
        <f>IF(N174="snížená",J174,0)</f>
        <v>0</v>
      </c>
      <c r="BG174" s="98">
        <f>IF(N174="zákl. přenesená",J174,0)</f>
        <v>0</v>
      </c>
      <c r="BH174" s="98">
        <f>IF(N174="sníž. přenesená",J174,0)</f>
        <v>0</v>
      </c>
      <c r="BI174" s="98">
        <f>IF(N174="nulová",J174,0)</f>
        <v>0</v>
      </c>
      <c r="BJ174" s="10" t="s">
        <v>46</v>
      </c>
      <c r="BK174" s="98">
        <f>ROUND(I174*H174,2)</f>
        <v>97.29</v>
      </c>
      <c r="BL174" s="10" t="s">
        <v>83</v>
      </c>
      <c r="BM174" s="97" t="s">
        <v>241</v>
      </c>
    </row>
    <row r="175" spans="1:65" s="1" customFormat="1" ht="48.75" x14ac:dyDescent="0.2">
      <c r="A175" s="156"/>
      <c r="B175" s="16"/>
      <c r="C175" s="156"/>
      <c r="D175" s="99" t="s">
        <v>84</v>
      </c>
      <c r="E175" s="156"/>
      <c r="F175" s="100" t="s">
        <v>115</v>
      </c>
      <c r="G175" s="156"/>
      <c r="H175" s="156"/>
      <c r="I175" s="101"/>
      <c r="J175" s="156"/>
      <c r="K175" s="156"/>
      <c r="L175" s="16"/>
      <c r="M175" s="102"/>
      <c r="N175" s="103"/>
      <c r="O175" s="27"/>
      <c r="P175" s="27"/>
      <c r="Q175" s="27"/>
      <c r="R175" s="27"/>
      <c r="S175" s="27"/>
      <c r="T175" s="28"/>
      <c r="U175" s="156"/>
      <c r="V175" s="156"/>
      <c r="W175" s="156"/>
      <c r="X175" s="156"/>
      <c r="Y175" s="156"/>
      <c r="Z175" s="156"/>
      <c r="AA175" s="156"/>
      <c r="AB175" s="156"/>
      <c r="AC175" s="156"/>
      <c r="AD175" s="156"/>
      <c r="AE175" s="156"/>
      <c r="AT175" s="10" t="s">
        <v>84</v>
      </c>
      <c r="AU175" s="10" t="s">
        <v>47</v>
      </c>
    </row>
    <row r="176" spans="1:65" s="7" customFormat="1" x14ac:dyDescent="0.2">
      <c r="B176" s="112"/>
      <c r="D176" s="99" t="s">
        <v>87</v>
      </c>
      <c r="F176" s="114" t="s">
        <v>544</v>
      </c>
      <c r="H176" s="115">
        <f>5.688*5</f>
        <v>28.439999999999998</v>
      </c>
      <c r="I176" s="116"/>
      <c r="L176" s="112"/>
      <c r="M176" s="117"/>
      <c r="N176" s="118"/>
      <c r="O176" s="118"/>
      <c r="P176" s="118"/>
      <c r="Q176" s="118"/>
      <c r="R176" s="118"/>
      <c r="S176" s="118"/>
      <c r="T176" s="119"/>
      <c r="AT176" s="113" t="s">
        <v>87</v>
      </c>
      <c r="AU176" s="113" t="s">
        <v>47</v>
      </c>
      <c r="AV176" s="7" t="s">
        <v>47</v>
      </c>
      <c r="AW176" s="7" t="s">
        <v>1</v>
      </c>
      <c r="AX176" s="7" t="s">
        <v>46</v>
      </c>
      <c r="AY176" s="113" t="s">
        <v>75</v>
      </c>
    </row>
    <row r="177" spans="1:65" s="1" customFormat="1" ht="37.9" customHeight="1" x14ac:dyDescent="0.2">
      <c r="A177" s="156"/>
      <c r="B177" s="85"/>
      <c r="C177" s="86" t="s">
        <v>89</v>
      </c>
      <c r="D177" s="86" t="s">
        <v>78</v>
      </c>
      <c r="E177" s="87" t="s">
        <v>242</v>
      </c>
      <c r="F177" s="88" t="s">
        <v>243</v>
      </c>
      <c r="G177" s="89" t="s">
        <v>81</v>
      </c>
      <c r="H177" s="90">
        <v>2.8439999999999999</v>
      </c>
      <c r="I177" s="91">
        <v>3.4208109177592001</v>
      </c>
      <c r="J177" s="92">
        <f>ROUND(I177*H177,2)</f>
        <v>9.73</v>
      </c>
      <c r="K177" s="88" t="s">
        <v>0</v>
      </c>
      <c r="L177" s="16"/>
      <c r="M177" s="93" t="s">
        <v>0</v>
      </c>
      <c r="N177" s="94" t="s">
        <v>27</v>
      </c>
      <c r="O177" s="27"/>
      <c r="P177" s="95">
        <f>O177*H177</f>
        <v>0</v>
      </c>
      <c r="Q177" s="95">
        <v>0</v>
      </c>
      <c r="R177" s="95">
        <f>Q177*H177</f>
        <v>0</v>
      </c>
      <c r="S177" s="95">
        <v>0</v>
      </c>
      <c r="T177" s="96">
        <f>S177*H177</f>
        <v>0</v>
      </c>
      <c r="U177" s="156"/>
      <c r="V177" s="156"/>
      <c r="W177" s="156"/>
      <c r="X177" s="156"/>
      <c r="Y177" s="156"/>
      <c r="Z177" s="156"/>
      <c r="AA177" s="156"/>
      <c r="AB177" s="156"/>
      <c r="AC177" s="156"/>
      <c r="AD177" s="156"/>
      <c r="AE177" s="156"/>
      <c r="AR177" s="97" t="s">
        <v>83</v>
      </c>
      <c r="AT177" s="97" t="s">
        <v>78</v>
      </c>
      <c r="AU177" s="97" t="s">
        <v>47</v>
      </c>
      <c r="AY177" s="10" t="s">
        <v>75</v>
      </c>
      <c r="BE177" s="98">
        <f>IF(N177="základní",J177,0)</f>
        <v>9.73</v>
      </c>
      <c r="BF177" s="98">
        <f>IF(N177="snížená",J177,0)</f>
        <v>0</v>
      </c>
      <c r="BG177" s="98">
        <f>IF(N177="zákl. přenesená",J177,0)</f>
        <v>0</v>
      </c>
      <c r="BH177" s="98">
        <f>IF(N177="sníž. přenesená",J177,0)</f>
        <v>0</v>
      </c>
      <c r="BI177" s="98">
        <f>IF(N177="nulová",J177,0)</f>
        <v>0</v>
      </c>
      <c r="BJ177" s="10" t="s">
        <v>46</v>
      </c>
      <c r="BK177" s="98">
        <f>ROUND(I177*H177,2)</f>
        <v>9.73</v>
      </c>
      <c r="BL177" s="10" t="s">
        <v>83</v>
      </c>
      <c r="BM177" s="97" t="s">
        <v>244</v>
      </c>
    </row>
    <row r="178" spans="1:65" s="1" customFormat="1" ht="48.75" x14ac:dyDescent="0.2">
      <c r="A178" s="156"/>
      <c r="B178" s="16"/>
      <c r="C178" s="156"/>
      <c r="D178" s="99" t="s">
        <v>84</v>
      </c>
      <c r="E178" s="156"/>
      <c r="F178" s="100" t="s">
        <v>115</v>
      </c>
      <c r="G178" s="156"/>
      <c r="H178" s="156"/>
      <c r="I178" s="101"/>
      <c r="J178" s="156"/>
      <c r="K178" s="156"/>
      <c r="L178" s="16"/>
      <c r="M178" s="102"/>
      <c r="N178" s="103"/>
      <c r="O178" s="27"/>
      <c r="P178" s="27"/>
      <c r="Q178" s="27"/>
      <c r="R178" s="27"/>
      <c r="S178" s="27"/>
      <c r="T178" s="28"/>
      <c r="U178" s="156"/>
      <c r="V178" s="156"/>
      <c r="W178" s="156"/>
      <c r="X178" s="156"/>
      <c r="Y178" s="156"/>
      <c r="Z178" s="156"/>
      <c r="AA178" s="156"/>
      <c r="AB178" s="156"/>
      <c r="AC178" s="156"/>
      <c r="AD178" s="156"/>
      <c r="AE178" s="156"/>
      <c r="AT178" s="10" t="s">
        <v>84</v>
      </c>
      <c r="AU178" s="10" t="s">
        <v>47</v>
      </c>
    </row>
    <row r="179" spans="1:65" s="7" customFormat="1" x14ac:dyDescent="0.2">
      <c r="B179" s="112"/>
      <c r="D179" s="99" t="s">
        <v>87</v>
      </c>
      <c r="F179" s="114" t="s">
        <v>545</v>
      </c>
      <c r="H179" s="115">
        <f>0.5688*5</f>
        <v>2.8439999999999999</v>
      </c>
      <c r="I179" s="116"/>
      <c r="L179" s="112"/>
      <c r="M179" s="117"/>
      <c r="N179" s="118"/>
      <c r="O179" s="118"/>
      <c r="P179" s="118"/>
      <c r="Q179" s="118"/>
      <c r="R179" s="118"/>
      <c r="S179" s="118"/>
      <c r="T179" s="119"/>
      <c r="AT179" s="113" t="s">
        <v>87</v>
      </c>
      <c r="AU179" s="113" t="s">
        <v>47</v>
      </c>
      <c r="AV179" s="7" t="s">
        <v>47</v>
      </c>
      <c r="AW179" s="7" t="s">
        <v>1</v>
      </c>
      <c r="AX179" s="7" t="s">
        <v>46</v>
      </c>
      <c r="AY179" s="113" t="s">
        <v>75</v>
      </c>
    </row>
    <row r="180" spans="1:65" s="1" customFormat="1" ht="24.2" customHeight="1" x14ac:dyDescent="0.2">
      <c r="A180" s="156"/>
      <c r="B180" s="85"/>
      <c r="C180" s="86" t="s">
        <v>93</v>
      </c>
      <c r="D180" s="86" t="s">
        <v>78</v>
      </c>
      <c r="E180" s="87" t="s">
        <v>245</v>
      </c>
      <c r="F180" s="88" t="s">
        <v>246</v>
      </c>
      <c r="G180" s="89" t="s">
        <v>81</v>
      </c>
      <c r="H180" s="90">
        <v>0.56879999999999997</v>
      </c>
      <c r="I180" s="91">
        <v>43.080493951075745</v>
      </c>
      <c r="J180" s="92">
        <f>ROUND(I180*H180,2)</f>
        <v>24.5</v>
      </c>
      <c r="K180" s="88" t="s">
        <v>82</v>
      </c>
      <c r="L180" s="16"/>
      <c r="M180" s="93" t="s">
        <v>0</v>
      </c>
      <c r="N180" s="94" t="s">
        <v>27</v>
      </c>
      <c r="O180" s="27"/>
      <c r="P180" s="95">
        <f>O180*H180</f>
        <v>0</v>
      </c>
      <c r="Q180" s="95">
        <v>0</v>
      </c>
      <c r="R180" s="95">
        <f>Q180*H180</f>
        <v>0</v>
      </c>
      <c r="S180" s="95">
        <v>0</v>
      </c>
      <c r="T180" s="96">
        <f>S180*H180</f>
        <v>0</v>
      </c>
      <c r="U180" s="156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R180" s="97" t="s">
        <v>83</v>
      </c>
      <c r="AT180" s="97" t="s">
        <v>78</v>
      </c>
      <c r="AU180" s="97" t="s">
        <v>47</v>
      </c>
      <c r="AY180" s="10" t="s">
        <v>75</v>
      </c>
      <c r="BE180" s="98">
        <f>IF(N180="základní",J180,0)</f>
        <v>24.5</v>
      </c>
      <c r="BF180" s="98">
        <f>IF(N180="snížená",J180,0)</f>
        <v>0</v>
      </c>
      <c r="BG180" s="98">
        <f>IF(N180="zákl. přenesená",J180,0)</f>
        <v>0</v>
      </c>
      <c r="BH180" s="98">
        <f>IF(N180="sníž. přenesená",J180,0)</f>
        <v>0</v>
      </c>
      <c r="BI180" s="98">
        <f>IF(N180="nulová",J180,0)</f>
        <v>0</v>
      </c>
      <c r="BJ180" s="10" t="s">
        <v>46</v>
      </c>
      <c r="BK180" s="98">
        <f>ROUND(I180*H180,2)</f>
        <v>24.5</v>
      </c>
      <c r="BL180" s="10" t="s">
        <v>83</v>
      </c>
      <c r="BM180" s="97" t="s">
        <v>247</v>
      </c>
    </row>
    <row r="181" spans="1:65" s="1" customFormat="1" ht="29.25" x14ac:dyDescent="0.2">
      <c r="A181" s="156"/>
      <c r="B181" s="16"/>
      <c r="C181" s="156"/>
      <c r="D181" s="99" t="s">
        <v>84</v>
      </c>
      <c r="E181" s="156"/>
      <c r="F181" s="100" t="s">
        <v>248</v>
      </c>
      <c r="G181" s="156"/>
      <c r="H181" s="156"/>
      <c r="I181" s="101"/>
      <c r="J181" s="156"/>
      <c r="K181" s="156"/>
      <c r="L181" s="16"/>
      <c r="M181" s="102"/>
      <c r="N181" s="103"/>
      <c r="O181" s="27"/>
      <c r="P181" s="27"/>
      <c r="Q181" s="27"/>
      <c r="R181" s="27"/>
      <c r="S181" s="27"/>
      <c r="T181" s="28"/>
      <c r="U181" s="156"/>
      <c r="V181" s="156"/>
      <c r="W181" s="156"/>
      <c r="X181" s="156"/>
      <c r="Y181" s="156"/>
      <c r="Z181" s="156"/>
      <c r="AA181" s="156"/>
      <c r="AB181" s="156"/>
      <c r="AC181" s="156"/>
      <c r="AD181" s="156"/>
      <c r="AE181" s="156"/>
      <c r="AT181" s="10" t="s">
        <v>84</v>
      </c>
      <c r="AU181" s="10" t="s">
        <v>47</v>
      </c>
    </row>
    <row r="182" spans="1:65" s="1" customFormat="1" ht="24.2" customHeight="1" x14ac:dyDescent="0.2">
      <c r="A182" s="156"/>
      <c r="B182" s="85"/>
      <c r="C182" s="86" t="s">
        <v>4</v>
      </c>
      <c r="D182" s="86" t="s">
        <v>78</v>
      </c>
      <c r="E182" s="87" t="s">
        <v>154</v>
      </c>
      <c r="F182" s="88" t="s">
        <v>155</v>
      </c>
      <c r="G182" s="89" t="s">
        <v>100</v>
      </c>
      <c r="H182" s="90">
        <v>3.25</v>
      </c>
      <c r="I182" s="91">
        <v>6.3644601414457247</v>
      </c>
      <c r="J182" s="92">
        <f>ROUND(I182*H182,2)</f>
        <v>20.68</v>
      </c>
      <c r="K182" s="88" t="s">
        <v>82</v>
      </c>
      <c r="L182" s="16"/>
      <c r="M182" s="93" t="s">
        <v>0</v>
      </c>
      <c r="N182" s="94" t="s">
        <v>27</v>
      </c>
      <c r="O182" s="27"/>
      <c r="P182" s="95">
        <f>O182*H182</f>
        <v>0</v>
      </c>
      <c r="Q182" s="95">
        <v>0</v>
      </c>
      <c r="R182" s="95">
        <f>Q182*H182</f>
        <v>0</v>
      </c>
      <c r="S182" s="95">
        <v>0</v>
      </c>
      <c r="T182" s="96">
        <f>S182*H182</f>
        <v>0</v>
      </c>
      <c r="U182" s="156"/>
      <c r="V182" s="156"/>
      <c r="W182" s="156"/>
      <c r="X182" s="156"/>
      <c r="Y182" s="156"/>
      <c r="Z182" s="156"/>
      <c r="AA182" s="156"/>
      <c r="AB182" s="156"/>
      <c r="AC182" s="156"/>
      <c r="AD182" s="156"/>
      <c r="AE182" s="156"/>
      <c r="AR182" s="97" t="s">
        <v>83</v>
      </c>
      <c r="AT182" s="97" t="s">
        <v>78</v>
      </c>
      <c r="AU182" s="97" t="s">
        <v>47</v>
      </c>
      <c r="AY182" s="10" t="s">
        <v>75</v>
      </c>
      <c r="BE182" s="98">
        <f>IF(N182="základní",J182,0)</f>
        <v>20.68</v>
      </c>
      <c r="BF182" s="98">
        <f>IF(N182="snížená",J182,0)</f>
        <v>0</v>
      </c>
      <c r="BG182" s="98">
        <f>IF(N182="zákl. přenesená",J182,0)</f>
        <v>0</v>
      </c>
      <c r="BH182" s="98">
        <f>IF(N182="sníž. přenesená",J182,0)</f>
        <v>0</v>
      </c>
      <c r="BI182" s="98">
        <f>IF(N182="nulová",J182,0)</f>
        <v>0</v>
      </c>
      <c r="BJ182" s="10" t="s">
        <v>46</v>
      </c>
      <c r="BK182" s="98">
        <f>ROUND(I182*H182,2)</f>
        <v>20.68</v>
      </c>
      <c r="BL182" s="10" t="s">
        <v>83</v>
      </c>
      <c r="BM182" s="97" t="s">
        <v>249</v>
      </c>
    </row>
    <row r="183" spans="1:65" s="1" customFormat="1" ht="19.5" x14ac:dyDescent="0.2">
      <c r="A183" s="156"/>
      <c r="B183" s="16"/>
      <c r="C183" s="156"/>
      <c r="D183" s="99" t="s">
        <v>84</v>
      </c>
      <c r="E183" s="156"/>
      <c r="F183" s="100" t="s">
        <v>156</v>
      </c>
      <c r="G183" s="156"/>
      <c r="H183" s="156"/>
      <c r="I183" s="101"/>
      <c r="J183" s="156"/>
      <c r="K183" s="156"/>
      <c r="L183" s="16"/>
      <c r="M183" s="102"/>
      <c r="N183" s="103"/>
      <c r="O183" s="27"/>
      <c r="P183" s="27"/>
      <c r="Q183" s="27"/>
      <c r="R183" s="27"/>
      <c r="S183" s="27"/>
      <c r="T183" s="28"/>
      <c r="U183" s="156"/>
      <c r="V183" s="156"/>
      <c r="W183" s="156"/>
      <c r="X183" s="156"/>
      <c r="Y183" s="156"/>
      <c r="Z183" s="156"/>
      <c r="AA183" s="156"/>
      <c r="AB183" s="156"/>
      <c r="AC183" s="156"/>
      <c r="AD183" s="156"/>
      <c r="AE183" s="156"/>
      <c r="AT183" s="10" t="s">
        <v>84</v>
      </c>
      <c r="AU183" s="10" t="s">
        <v>47</v>
      </c>
    </row>
    <row r="184" spans="1:65" s="1" customFormat="1" x14ac:dyDescent="0.2">
      <c r="A184" s="171"/>
      <c r="B184" s="16"/>
      <c r="C184" s="171"/>
      <c r="D184" s="99"/>
      <c r="E184" s="171"/>
      <c r="F184" s="100" t="s">
        <v>546</v>
      </c>
      <c r="G184" s="171"/>
      <c r="H184" s="171">
        <v>3.25</v>
      </c>
      <c r="I184" s="101"/>
      <c r="J184" s="171"/>
      <c r="K184" s="171"/>
      <c r="L184" s="16"/>
      <c r="M184" s="102"/>
      <c r="N184" s="103"/>
      <c r="O184" s="27"/>
      <c r="P184" s="27"/>
      <c r="Q184" s="27"/>
      <c r="R184" s="27"/>
      <c r="S184" s="27"/>
      <c r="T184" s="28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T184" s="10"/>
      <c r="AU184" s="10"/>
    </row>
    <row r="185" spans="1:65" s="1" customFormat="1" ht="24.2" customHeight="1" x14ac:dyDescent="0.2">
      <c r="A185" s="156"/>
      <c r="B185" s="85"/>
      <c r="C185" s="86" t="s">
        <v>104</v>
      </c>
      <c r="D185" s="86" t="s">
        <v>78</v>
      </c>
      <c r="E185" s="87" t="s">
        <v>117</v>
      </c>
      <c r="F185" s="88" t="s">
        <v>118</v>
      </c>
      <c r="G185" s="89" t="s">
        <v>119</v>
      </c>
      <c r="H185" s="90">
        <v>9.2149999999999999</v>
      </c>
      <c r="I185" s="91">
        <v>110.6455721</v>
      </c>
      <c r="J185" s="92">
        <f>ROUND(I185*H185,2)</f>
        <v>1019.6</v>
      </c>
      <c r="K185" s="88" t="s">
        <v>82</v>
      </c>
      <c r="L185" s="16"/>
      <c r="M185" s="93" t="s">
        <v>0</v>
      </c>
      <c r="N185" s="94" t="s">
        <v>27</v>
      </c>
      <c r="O185" s="27"/>
      <c r="P185" s="95">
        <f>O185*H185</f>
        <v>0</v>
      </c>
      <c r="Q185" s="95">
        <v>0</v>
      </c>
      <c r="R185" s="95">
        <f>Q185*H185</f>
        <v>0</v>
      </c>
      <c r="S185" s="95">
        <v>0</v>
      </c>
      <c r="T185" s="96">
        <f>S185*H185</f>
        <v>0</v>
      </c>
      <c r="U185" s="156"/>
      <c r="V185" s="156"/>
      <c r="W185" s="156"/>
      <c r="X185" s="156"/>
      <c r="Y185" s="156"/>
      <c r="Z185" s="156"/>
      <c r="AA185" s="156"/>
      <c r="AB185" s="156"/>
      <c r="AC185" s="156"/>
      <c r="AD185" s="156"/>
      <c r="AE185" s="156"/>
      <c r="AR185" s="97" t="s">
        <v>83</v>
      </c>
      <c r="AT185" s="97" t="s">
        <v>78</v>
      </c>
      <c r="AU185" s="97" t="s">
        <v>47</v>
      </c>
      <c r="AY185" s="10" t="s">
        <v>75</v>
      </c>
      <c r="BE185" s="98">
        <f>IF(N185="základní",J185,0)</f>
        <v>1019.6</v>
      </c>
      <c r="BF185" s="98">
        <f>IF(N185="snížená",J185,0)</f>
        <v>0</v>
      </c>
      <c r="BG185" s="98">
        <f>IF(N185="zákl. přenesená",J185,0)</f>
        <v>0</v>
      </c>
      <c r="BH185" s="98">
        <f>IF(N185="sníž. přenesená",J185,0)</f>
        <v>0</v>
      </c>
      <c r="BI185" s="98">
        <f>IF(N185="nulová",J185,0)</f>
        <v>0</v>
      </c>
      <c r="BJ185" s="10" t="s">
        <v>46</v>
      </c>
      <c r="BK185" s="98">
        <f>ROUND(I185*H185,2)</f>
        <v>1019.6</v>
      </c>
      <c r="BL185" s="10" t="s">
        <v>83</v>
      </c>
      <c r="BM185" s="97" t="s">
        <v>251</v>
      </c>
    </row>
    <row r="186" spans="1:65" s="1" customFormat="1" ht="29.25" x14ac:dyDescent="0.2">
      <c r="A186" s="156"/>
      <c r="B186" s="16"/>
      <c r="C186" s="156"/>
      <c r="D186" s="99" t="s">
        <v>84</v>
      </c>
      <c r="E186" s="156"/>
      <c r="F186" s="100" t="s">
        <v>120</v>
      </c>
      <c r="G186" s="156"/>
      <c r="H186" s="156"/>
      <c r="I186" s="101"/>
      <c r="J186" s="156"/>
      <c r="K186" s="156"/>
      <c r="L186" s="16"/>
      <c r="M186" s="102"/>
      <c r="N186" s="103"/>
      <c r="O186" s="27"/>
      <c r="P186" s="27"/>
      <c r="Q186" s="27"/>
      <c r="R186" s="27"/>
      <c r="S186" s="27"/>
      <c r="T186" s="28"/>
      <c r="U186" s="156"/>
      <c r="V186" s="156"/>
      <c r="W186" s="156"/>
      <c r="X186" s="156"/>
      <c r="Y186" s="156"/>
      <c r="Z186" s="156"/>
      <c r="AA186" s="156"/>
      <c r="AB186" s="156"/>
      <c r="AC186" s="156"/>
      <c r="AD186" s="156"/>
      <c r="AE186" s="156"/>
      <c r="AT186" s="10" t="s">
        <v>84</v>
      </c>
      <c r="AU186" s="10" t="s">
        <v>47</v>
      </c>
    </row>
    <row r="187" spans="1:65" s="6" customFormat="1" x14ac:dyDescent="0.2">
      <c r="B187" s="105"/>
      <c r="D187" s="99" t="s">
        <v>87</v>
      </c>
      <c r="E187" s="106" t="s">
        <v>0</v>
      </c>
      <c r="F187" s="107" t="s">
        <v>252</v>
      </c>
      <c r="H187" s="106" t="s">
        <v>0</v>
      </c>
      <c r="I187" s="108"/>
      <c r="L187" s="105"/>
      <c r="M187" s="109"/>
      <c r="N187" s="110"/>
      <c r="O187" s="110"/>
      <c r="P187" s="110"/>
      <c r="Q187" s="110"/>
      <c r="R187" s="110"/>
      <c r="S187" s="110"/>
      <c r="T187" s="111"/>
      <c r="AT187" s="106" t="s">
        <v>87</v>
      </c>
      <c r="AU187" s="106" t="s">
        <v>47</v>
      </c>
      <c r="AV187" s="6" t="s">
        <v>46</v>
      </c>
      <c r="AW187" s="6" t="s">
        <v>19</v>
      </c>
      <c r="AX187" s="6" t="s">
        <v>45</v>
      </c>
      <c r="AY187" s="106" t="s">
        <v>75</v>
      </c>
    </row>
    <row r="188" spans="1:65" s="7" customFormat="1" x14ac:dyDescent="0.2">
      <c r="B188" s="112"/>
      <c r="D188" s="99" t="s">
        <v>87</v>
      </c>
      <c r="E188" s="113" t="s">
        <v>0</v>
      </c>
      <c r="F188" s="114"/>
      <c r="H188" s="115">
        <v>5.6879999999999997</v>
      </c>
      <c r="I188" s="116"/>
      <c r="L188" s="112"/>
      <c r="M188" s="117"/>
      <c r="N188" s="118"/>
      <c r="O188" s="118"/>
      <c r="P188" s="118"/>
      <c r="Q188" s="118"/>
      <c r="R188" s="118"/>
      <c r="S188" s="118"/>
      <c r="T188" s="119"/>
      <c r="AT188" s="113" t="s">
        <v>87</v>
      </c>
      <c r="AU188" s="113" t="s">
        <v>47</v>
      </c>
      <c r="AV188" s="7" t="s">
        <v>47</v>
      </c>
      <c r="AW188" s="7" t="s">
        <v>19</v>
      </c>
      <c r="AX188" s="7" t="s">
        <v>45</v>
      </c>
      <c r="AY188" s="113" t="s">
        <v>75</v>
      </c>
    </row>
    <row r="189" spans="1:65" s="6" customFormat="1" x14ac:dyDescent="0.2">
      <c r="B189" s="105"/>
      <c r="D189" s="99" t="s">
        <v>87</v>
      </c>
      <c r="E189" s="106" t="s">
        <v>0</v>
      </c>
      <c r="F189" s="107" t="s">
        <v>253</v>
      </c>
      <c r="H189" s="106" t="s">
        <v>0</v>
      </c>
      <c r="I189" s="108"/>
      <c r="L189" s="105"/>
      <c r="M189" s="109"/>
      <c r="N189" s="110"/>
      <c r="O189" s="110"/>
      <c r="P189" s="110"/>
      <c r="Q189" s="110"/>
      <c r="R189" s="110"/>
      <c r="S189" s="110"/>
      <c r="T189" s="111"/>
      <c r="AT189" s="106" t="s">
        <v>87</v>
      </c>
      <c r="AU189" s="106" t="s">
        <v>47</v>
      </c>
      <c r="AV189" s="6" t="s">
        <v>46</v>
      </c>
      <c r="AW189" s="6" t="s">
        <v>19</v>
      </c>
      <c r="AX189" s="6" t="s">
        <v>45</v>
      </c>
      <c r="AY189" s="106" t="s">
        <v>75</v>
      </c>
    </row>
    <row r="190" spans="1:65" s="7" customFormat="1" x14ac:dyDescent="0.2">
      <c r="B190" s="112"/>
      <c r="D190" s="99" t="s">
        <v>87</v>
      </c>
      <c r="E190" s="113" t="s">
        <v>0</v>
      </c>
      <c r="F190" s="114"/>
      <c r="H190" s="115">
        <v>-0.56879999999999997</v>
      </c>
      <c r="I190" s="116"/>
      <c r="L190" s="112"/>
      <c r="M190" s="117"/>
      <c r="N190" s="118"/>
      <c r="O190" s="118"/>
      <c r="P190" s="118"/>
      <c r="Q190" s="118"/>
      <c r="R190" s="118"/>
      <c r="S190" s="118"/>
      <c r="T190" s="119"/>
      <c r="AT190" s="113" t="s">
        <v>87</v>
      </c>
      <c r="AU190" s="113" t="s">
        <v>47</v>
      </c>
      <c r="AV190" s="7" t="s">
        <v>47</v>
      </c>
      <c r="AW190" s="7" t="s">
        <v>19</v>
      </c>
      <c r="AX190" s="7" t="s">
        <v>45</v>
      </c>
      <c r="AY190" s="113" t="s">
        <v>75</v>
      </c>
    </row>
    <row r="191" spans="1:65" s="9" customFormat="1" x14ac:dyDescent="0.2">
      <c r="B191" s="128"/>
      <c r="D191" s="99" t="s">
        <v>87</v>
      </c>
      <c r="E191" s="129" t="s">
        <v>0</v>
      </c>
      <c r="F191" s="130" t="s">
        <v>103</v>
      </c>
      <c r="H191" s="131">
        <f>H188+H190</f>
        <v>5.1191999999999993</v>
      </c>
      <c r="I191" s="132"/>
      <c r="L191" s="128"/>
      <c r="M191" s="133"/>
      <c r="N191" s="134"/>
      <c r="O191" s="134"/>
      <c r="P191" s="134"/>
      <c r="Q191" s="134"/>
      <c r="R191" s="134"/>
      <c r="S191" s="134"/>
      <c r="T191" s="135"/>
      <c r="AT191" s="129" t="s">
        <v>87</v>
      </c>
      <c r="AU191" s="129" t="s">
        <v>47</v>
      </c>
      <c r="AV191" s="9" t="s">
        <v>83</v>
      </c>
      <c r="AW191" s="9" t="s">
        <v>19</v>
      </c>
      <c r="AX191" s="9" t="s">
        <v>46</v>
      </c>
      <c r="AY191" s="129" t="s">
        <v>75</v>
      </c>
    </row>
    <row r="192" spans="1:65" s="7" customFormat="1" x14ac:dyDescent="0.2">
      <c r="B192" s="112"/>
      <c r="D192" s="99" t="s">
        <v>87</v>
      </c>
      <c r="F192" s="114" t="s">
        <v>547</v>
      </c>
      <c r="H192" s="115">
        <f>H191*1.8</f>
        <v>9.2145599999999988</v>
      </c>
      <c r="I192" s="116"/>
      <c r="L192" s="112"/>
      <c r="M192" s="117"/>
      <c r="N192" s="118"/>
      <c r="O192" s="118"/>
      <c r="P192" s="118"/>
      <c r="Q192" s="118"/>
      <c r="R192" s="118"/>
      <c r="S192" s="118"/>
      <c r="T192" s="119"/>
      <c r="AT192" s="113" t="s">
        <v>87</v>
      </c>
      <c r="AU192" s="113" t="s">
        <v>47</v>
      </c>
      <c r="AV192" s="7" t="s">
        <v>47</v>
      </c>
      <c r="AW192" s="7" t="s">
        <v>1</v>
      </c>
      <c r="AX192" s="7" t="s">
        <v>46</v>
      </c>
      <c r="AY192" s="113" t="s">
        <v>75</v>
      </c>
    </row>
    <row r="193" spans="1:65" s="1" customFormat="1" ht="24.2" customHeight="1" x14ac:dyDescent="0.2">
      <c r="A193" s="156"/>
      <c r="B193" s="85"/>
      <c r="C193" s="86" t="s">
        <v>108</v>
      </c>
      <c r="D193" s="86" t="s">
        <v>78</v>
      </c>
      <c r="E193" s="87" t="s">
        <v>121</v>
      </c>
      <c r="F193" s="88" t="s">
        <v>122</v>
      </c>
      <c r="G193" s="89" t="s">
        <v>81</v>
      </c>
      <c r="H193" s="90">
        <v>5.0999999999999996</v>
      </c>
      <c r="I193" s="91">
        <v>140.64048227116101</v>
      </c>
      <c r="J193" s="92">
        <f>ROUND(I193*H193,2)</f>
        <v>717.27</v>
      </c>
      <c r="K193" s="88" t="s">
        <v>82</v>
      </c>
      <c r="L193" s="16"/>
      <c r="M193" s="93" t="s">
        <v>0</v>
      </c>
      <c r="N193" s="94" t="s">
        <v>27</v>
      </c>
      <c r="O193" s="27"/>
      <c r="P193" s="95">
        <f>O193*H193</f>
        <v>0</v>
      </c>
      <c r="Q193" s="95">
        <v>0</v>
      </c>
      <c r="R193" s="95">
        <f>Q193*H193</f>
        <v>0</v>
      </c>
      <c r="S193" s="95">
        <v>0</v>
      </c>
      <c r="T193" s="96">
        <f>S193*H193</f>
        <v>0</v>
      </c>
      <c r="U193" s="156"/>
      <c r="V193" s="156"/>
      <c r="W193" s="156"/>
      <c r="X193" s="156"/>
      <c r="Y193" s="156"/>
      <c r="Z193" s="156"/>
      <c r="AA193" s="156"/>
      <c r="AB193" s="156"/>
      <c r="AC193" s="156"/>
      <c r="AD193" s="156"/>
      <c r="AE193" s="156"/>
      <c r="AR193" s="97" t="s">
        <v>83</v>
      </c>
      <c r="AT193" s="97" t="s">
        <v>78</v>
      </c>
      <c r="AU193" s="97" t="s">
        <v>47</v>
      </c>
      <c r="AY193" s="10" t="s">
        <v>75</v>
      </c>
      <c r="BE193" s="98">
        <f>IF(N193="základní",J193,0)</f>
        <v>717.27</v>
      </c>
      <c r="BF193" s="98">
        <f>IF(N193="snížená",J193,0)</f>
        <v>0</v>
      </c>
      <c r="BG193" s="98">
        <f>IF(N193="zákl. přenesená",J193,0)</f>
        <v>0</v>
      </c>
      <c r="BH193" s="98">
        <f>IF(N193="sníž. přenesená",J193,0)</f>
        <v>0</v>
      </c>
      <c r="BI193" s="98">
        <f>IF(N193="nulová",J193,0)</f>
        <v>0</v>
      </c>
      <c r="BJ193" s="10" t="s">
        <v>46</v>
      </c>
      <c r="BK193" s="98">
        <f>ROUND(I193*H193,2)</f>
        <v>717.27</v>
      </c>
      <c r="BL193" s="10" t="s">
        <v>83</v>
      </c>
      <c r="BM193" s="97" t="s">
        <v>254</v>
      </c>
    </row>
    <row r="194" spans="1:65" s="1" customFormat="1" ht="29.25" x14ac:dyDescent="0.2">
      <c r="A194" s="156"/>
      <c r="B194" s="16"/>
      <c r="C194" s="156"/>
      <c r="D194" s="99" t="s">
        <v>84</v>
      </c>
      <c r="E194" s="156"/>
      <c r="F194" s="100" t="s">
        <v>123</v>
      </c>
      <c r="G194" s="156"/>
      <c r="H194" s="156"/>
      <c r="I194" s="101"/>
      <c r="J194" s="156"/>
      <c r="K194" s="156"/>
      <c r="L194" s="16"/>
      <c r="M194" s="102"/>
      <c r="N194" s="103"/>
      <c r="O194" s="27"/>
      <c r="P194" s="27"/>
      <c r="Q194" s="27"/>
      <c r="R194" s="27"/>
      <c r="S194" s="27"/>
      <c r="T194" s="28"/>
      <c r="U194" s="156"/>
      <c r="V194" s="156"/>
      <c r="W194" s="156"/>
      <c r="X194" s="156"/>
      <c r="Y194" s="156"/>
      <c r="Z194" s="156"/>
      <c r="AA194" s="156"/>
      <c r="AB194" s="156"/>
      <c r="AC194" s="156"/>
      <c r="AD194" s="156"/>
      <c r="AE194" s="156"/>
      <c r="AT194" s="10" t="s">
        <v>84</v>
      </c>
      <c r="AU194" s="10" t="s">
        <v>47</v>
      </c>
    </row>
    <row r="195" spans="1:65" s="6" customFormat="1" x14ac:dyDescent="0.2">
      <c r="B195" s="105"/>
      <c r="D195" s="99" t="s">
        <v>87</v>
      </c>
      <c r="E195" s="106" t="s">
        <v>0</v>
      </c>
      <c r="F195" s="107" t="s">
        <v>124</v>
      </c>
      <c r="H195" s="106" t="s">
        <v>0</v>
      </c>
      <c r="I195" s="108"/>
      <c r="L195" s="105"/>
      <c r="M195" s="109"/>
      <c r="N195" s="110"/>
      <c r="O195" s="110"/>
      <c r="P195" s="110"/>
      <c r="Q195" s="110"/>
      <c r="R195" s="110"/>
      <c r="S195" s="110"/>
      <c r="T195" s="111"/>
      <c r="AT195" s="106" t="s">
        <v>87</v>
      </c>
      <c r="AU195" s="106" t="s">
        <v>47</v>
      </c>
      <c r="AV195" s="6" t="s">
        <v>46</v>
      </c>
      <c r="AW195" s="6" t="s">
        <v>19</v>
      </c>
      <c r="AX195" s="6" t="s">
        <v>45</v>
      </c>
      <c r="AY195" s="106" t="s">
        <v>75</v>
      </c>
    </row>
    <row r="196" spans="1:65" s="7" customFormat="1" x14ac:dyDescent="0.2">
      <c r="B196" s="112"/>
      <c r="D196" s="99" t="s">
        <v>87</v>
      </c>
      <c r="E196" s="113" t="s">
        <v>0</v>
      </c>
      <c r="F196" s="114">
        <v>5.25</v>
      </c>
      <c r="H196" s="115">
        <v>5.6879999999999997</v>
      </c>
      <c r="I196" s="116"/>
      <c r="L196" s="112"/>
      <c r="M196" s="117"/>
      <c r="N196" s="118"/>
      <c r="O196" s="118"/>
      <c r="P196" s="118"/>
      <c r="Q196" s="118"/>
      <c r="R196" s="118"/>
      <c r="S196" s="118"/>
      <c r="T196" s="119"/>
      <c r="AT196" s="113" t="s">
        <v>87</v>
      </c>
      <c r="AU196" s="113" t="s">
        <v>47</v>
      </c>
      <c r="AV196" s="7" t="s">
        <v>47</v>
      </c>
      <c r="AW196" s="7" t="s">
        <v>19</v>
      </c>
      <c r="AX196" s="7" t="s">
        <v>45</v>
      </c>
      <c r="AY196" s="113" t="s">
        <v>75</v>
      </c>
    </row>
    <row r="197" spans="1:65" s="6" customFormat="1" x14ac:dyDescent="0.2">
      <c r="B197" s="105"/>
      <c r="D197" s="99" t="s">
        <v>87</v>
      </c>
      <c r="E197" s="106" t="s">
        <v>0</v>
      </c>
      <c r="F197" s="107" t="s">
        <v>157</v>
      </c>
      <c r="H197" s="106" t="s">
        <v>0</v>
      </c>
      <c r="I197" s="108"/>
      <c r="L197" s="105"/>
      <c r="M197" s="109"/>
      <c r="N197" s="110"/>
      <c r="O197" s="110"/>
      <c r="P197" s="110"/>
      <c r="Q197" s="110"/>
      <c r="R197" s="110"/>
      <c r="S197" s="110"/>
      <c r="T197" s="111"/>
      <c r="AT197" s="106" t="s">
        <v>87</v>
      </c>
      <c r="AU197" s="106" t="s">
        <v>47</v>
      </c>
      <c r="AV197" s="6" t="s">
        <v>46</v>
      </c>
      <c r="AW197" s="6" t="s">
        <v>19</v>
      </c>
      <c r="AX197" s="6" t="s">
        <v>45</v>
      </c>
      <c r="AY197" s="106" t="s">
        <v>75</v>
      </c>
    </row>
    <row r="198" spans="1:65" s="7" customFormat="1" x14ac:dyDescent="0.2">
      <c r="B198" s="112"/>
      <c r="D198" s="99" t="s">
        <v>87</v>
      </c>
      <c r="E198" s="113" t="s">
        <v>0</v>
      </c>
      <c r="F198" s="114">
        <v>-1.4630000000000001</v>
      </c>
      <c r="H198" s="115">
        <v>-1.4630000000000001</v>
      </c>
      <c r="I198" s="116"/>
      <c r="L198" s="112"/>
      <c r="M198" s="117"/>
      <c r="N198" s="118"/>
      <c r="O198" s="118"/>
      <c r="P198" s="118"/>
      <c r="Q198" s="118"/>
      <c r="R198" s="118"/>
      <c r="S198" s="118"/>
      <c r="T198" s="119"/>
      <c r="AT198" s="113" t="s">
        <v>87</v>
      </c>
      <c r="AU198" s="113" t="s">
        <v>47</v>
      </c>
      <c r="AV198" s="7" t="s">
        <v>47</v>
      </c>
      <c r="AW198" s="7" t="s">
        <v>19</v>
      </c>
      <c r="AX198" s="7" t="s">
        <v>45</v>
      </c>
      <c r="AY198" s="113" t="s">
        <v>75</v>
      </c>
    </row>
    <row r="199" spans="1:65" s="6" customFormat="1" x14ac:dyDescent="0.2">
      <c r="B199" s="105"/>
      <c r="D199" s="99" t="s">
        <v>87</v>
      </c>
      <c r="E199" s="106" t="s">
        <v>0</v>
      </c>
      <c r="F199" s="107" t="s">
        <v>158</v>
      </c>
      <c r="H199" s="106" t="s">
        <v>0</v>
      </c>
      <c r="I199" s="108"/>
      <c r="L199" s="105"/>
      <c r="M199" s="109"/>
      <c r="N199" s="110"/>
      <c r="O199" s="110"/>
      <c r="P199" s="110"/>
      <c r="Q199" s="110"/>
      <c r="R199" s="110"/>
      <c r="S199" s="110"/>
      <c r="T199" s="111"/>
      <c r="AT199" s="106" t="s">
        <v>87</v>
      </c>
      <c r="AU199" s="106" t="s">
        <v>47</v>
      </c>
      <c r="AV199" s="6" t="s">
        <v>46</v>
      </c>
      <c r="AW199" s="6" t="s">
        <v>19</v>
      </c>
      <c r="AX199" s="6" t="s">
        <v>45</v>
      </c>
      <c r="AY199" s="106" t="s">
        <v>75</v>
      </c>
    </row>
    <row r="200" spans="1:65" s="7" customFormat="1" x14ac:dyDescent="0.2">
      <c r="B200" s="112"/>
      <c r="D200" s="99" t="s">
        <v>87</v>
      </c>
      <c r="E200" s="113" t="s">
        <v>0</v>
      </c>
      <c r="F200" s="114">
        <v>-0.32500000000000001</v>
      </c>
      <c r="H200" s="115">
        <v>-0.32500000000000001</v>
      </c>
      <c r="I200" s="116"/>
      <c r="L200" s="112"/>
      <c r="M200" s="117"/>
      <c r="N200" s="118"/>
      <c r="O200" s="118"/>
      <c r="P200" s="118"/>
      <c r="Q200" s="118"/>
      <c r="R200" s="118"/>
      <c r="S200" s="118"/>
      <c r="T200" s="119"/>
      <c r="AT200" s="113" t="s">
        <v>87</v>
      </c>
      <c r="AU200" s="113" t="s">
        <v>47</v>
      </c>
      <c r="AV200" s="7" t="s">
        <v>47</v>
      </c>
      <c r="AW200" s="7" t="s">
        <v>19</v>
      </c>
      <c r="AX200" s="7" t="s">
        <v>45</v>
      </c>
      <c r="AY200" s="113" t="s">
        <v>75</v>
      </c>
    </row>
    <row r="201" spans="1:65" s="6" customFormat="1" x14ac:dyDescent="0.2">
      <c r="B201" s="105"/>
      <c r="D201" s="99" t="s">
        <v>87</v>
      </c>
      <c r="E201" s="106" t="s">
        <v>0</v>
      </c>
      <c r="F201" s="107" t="s">
        <v>159</v>
      </c>
      <c r="H201" s="106" t="s">
        <v>0</v>
      </c>
      <c r="I201" s="108"/>
      <c r="L201" s="105"/>
      <c r="M201" s="109"/>
      <c r="N201" s="110"/>
      <c r="O201" s="110"/>
      <c r="P201" s="110"/>
      <c r="Q201" s="110"/>
      <c r="R201" s="110"/>
      <c r="S201" s="110"/>
      <c r="T201" s="111"/>
      <c r="AT201" s="106" t="s">
        <v>87</v>
      </c>
      <c r="AU201" s="106" t="s">
        <v>47</v>
      </c>
      <c r="AV201" s="6" t="s">
        <v>46</v>
      </c>
      <c r="AW201" s="6" t="s">
        <v>19</v>
      </c>
      <c r="AX201" s="6" t="s">
        <v>45</v>
      </c>
      <c r="AY201" s="106" t="s">
        <v>75</v>
      </c>
    </row>
    <row r="202" spans="1:65" s="7" customFormat="1" x14ac:dyDescent="0.2">
      <c r="B202" s="112"/>
      <c r="D202" s="99" t="s">
        <v>87</v>
      </c>
      <c r="E202" s="113" t="s">
        <v>0</v>
      </c>
      <c r="F202" s="114"/>
      <c r="H202" s="115">
        <v>-0.1</v>
      </c>
      <c r="I202" s="116"/>
      <c r="L202" s="112"/>
      <c r="M202" s="117"/>
      <c r="N202" s="118"/>
      <c r="O202" s="118"/>
      <c r="P202" s="118"/>
      <c r="Q202" s="118"/>
      <c r="R202" s="118"/>
      <c r="S202" s="118"/>
      <c r="T202" s="119"/>
      <c r="AT202" s="113" t="s">
        <v>87</v>
      </c>
      <c r="AU202" s="113" t="s">
        <v>47</v>
      </c>
      <c r="AV202" s="7" t="s">
        <v>47</v>
      </c>
      <c r="AW202" s="7" t="s">
        <v>19</v>
      </c>
      <c r="AX202" s="7" t="s">
        <v>45</v>
      </c>
      <c r="AY202" s="113" t="s">
        <v>75</v>
      </c>
    </row>
    <row r="203" spans="1:65" s="6" customFormat="1" x14ac:dyDescent="0.2">
      <c r="B203" s="105"/>
      <c r="D203" s="99" t="s">
        <v>87</v>
      </c>
      <c r="E203" s="106" t="s">
        <v>0</v>
      </c>
      <c r="F203" s="107" t="s">
        <v>160</v>
      </c>
      <c r="H203" s="106" t="s">
        <v>0</v>
      </c>
      <c r="I203" s="108"/>
      <c r="L203" s="105"/>
      <c r="M203" s="109"/>
      <c r="N203" s="110"/>
      <c r="O203" s="110"/>
      <c r="P203" s="110"/>
      <c r="Q203" s="110"/>
      <c r="R203" s="110"/>
      <c r="S203" s="110"/>
      <c r="T203" s="111"/>
      <c r="AT203" s="106" t="s">
        <v>87</v>
      </c>
      <c r="AU203" s="106" t="s">
        <v>47</v>
      </c>
      <c r="AV203" s="6" t="s">
        <v>46</v>
      </c>
      <c r="AW203" s="6" t="s">
        <v>19</v>
      </c>
      <c r="AX203" s="6" t="s">
        <v>45</v>
      </c>
      <c r="AY203" s="106" t="s">
        <v>75</v>
      </c>
    </row>
    <row r="204" spans="1:65" s="7" customFormat="1" x14ac:dyDescent="0.2">
      <c r="B204" s="112"/>
      <c r="D204" s="99" t="s">
        <v>87</v>
      </c>
      <c r="E204" s="113" t="s">
        <v>0</v>
      </c>
      <c r="F204" s="114" t="s">
        <v>551</v>
      </c>
      <c r="H204" s="115">
        <f>3.25*(0.45-0.05)</f>
        <v>1.3</v>
      </c>
      <c r="I204" s="116"/>
      <c r="L204" s="112"/>
      <c r="M204" s="117"/>
      <c r="N204" s="118"/>
      <c r="O204" s="118"/>
      <c r="P204" s="118"/>
      <c r="Q204" s="118"/>
      <c r="R204" s="118"/>
      <c r="S204" s="118"/>
      <c r="T204" s="119"/>
      <c r="AT204" s="113" t="s">
        <v>87</v>
      </c>
      <c r="AU204" s="113" t="s">
        <v>47</v>
      </c>
      <c r="AV204" s="7" t="s">
        <v>47</v>
      </c>
      <c r="AW204" s="7" t="s">
        <v>19</v>
      </c>
      <c r="AX204" s="7" t="s">
        <v>45</v>
      </c>
      <c r="AY204" s="113" t="s">
        <v>75</v>
      </c>
    </row>
    <row r="205" spans="1:65" s="9" customFormat="1" x14ac:dyDescent="0.2">
      <c r="B205" s="128"/>
      <c r="D205" s="99" t="s">
        <v>87</v>
      </c>
      <c r="E205" s="129" t="s">
        <v>0</v>
      </c>
      <c r="F205" s="130" t="s">
        <v>103</v>
      </c>
      <c r="H205" s="131">
        <f>H196+H198+H200+H202+H204</f>
        <v>5.0999999999999996</v>
      </c>
      <c r="I205" s="132"/>
      <c r="L205" s="128"/>
      <c r="M205" s="133"/>
      <c r="N205" s="134"/>
      <c r="O205" s="134"/>
      <c r="P205" s="134"/>
      <c r="Q205" s="134"/>
      <c r="R205" s="134"/>
      <c r="S205" s="134"/>
      <c r="T205" s="135"/>
      <c r="AT205" s="129" t="s">
        <v>87</v>
      </c>
      <c r="AU205" s="129" t="s">
        <v>47</v>
      </c>
      <c r="AV205" s="9" t="s">
        <v>83</v>
      </c>
      <c r="AW205" s="9" t="s">
        <v>19</v>
      </c>
      <c r="AX205" s="9" t="s">
        <v>46</v>
      </c>
      <c r="AY205" s="129" t="s">
        <v>75</v>
      </c>
    </row>
    <row r="206" spans="1:65" s="1" customFormat="1" ht="14.45" customHeight="1" x14ac:dyDescent="0.2">
      <c r="A206" s="156"/>
      <c r="B206" s="85"/>
      <c r="C206" s="136" t="s">
        <v>112</v>
      </c>
      <c r="D206" s="136" t="s">
        <v>126</v>
      </c>
      <c r="E206" s="137" t="s">
        <v>127</v>
      </c>
      <c r="F206" s="138" t="s">
        <v>128</v>
      </c>
      <c r="G206" s="139" t="s">
        <v>119</v>
      </c>
      <c r="H206" s="140">
        <v>10.199999999999999</v>
      </c>
      <c r="I206" s="141">
        <v>390.0974172</v>
      </c>
      <c r="J206" s="142">
        <f>ROUND(I206*H206,2)</f>
        <v>3978.99</v>
      </c>
      <c r="K206" s="138" t="s">
        <v>82</v>
      </c>
      <c r="L206" s="143"/>
      <c r="M206" s="144" t="s">
        <v>0</v>
      </c>
      <c r="N206" s="145" t="s">
        <v>27</v>
      </c>
      <c r="O206" s="27"/>
      <c r="P206" s="95">
        <f>O206*H206</f>
        <v>0</v>
      </c>
      <c r="Q206" s="95">
        <v>1</v>
      </c>
      <c r="R206" s="95">
        <f>Q206*H206</f>
        <v>10.199999999999999</v>
      </c>
      <c r="S206" s="95">
        <v>0</v>
      </c>
      <c r="T206" s="96">
        <f>S206*H206</f>
        <v>0</v>
      </c>
      <c r="U206" s="156"/>
      <c r="V206" s="156"/>
      <c r="W206" s="156"/>
      <c r="X206" s="156"/>
      <c r="Y206" s="156"/>
      <c r="Z206" s="156"/>
      <c r="AA206" s="156"/>
      <c r="AB206" s="156"/>
      <c r="AC206" s="156"/>
      <c r="AD206" s="156"/>
      <c r="AE206" s="156"/>
      <c r="AR206" s="97" t="s">
        <v>129</v>
      </c>
      <c r="AT206" s="97" t="s">
        <v>126</v>
      </c>
      <c r="AU206" s="97" t="s">
        <v>47</v>
      </c>
      <c r="AY206" s="10" t="s">
        <v>75</v>
      </c>
      <c r="BE206" s="98">
        <f>IF(N206="základní",J206,0)</f>
        <v>3978.99</v>
      </c>
      <c r="BF206" s="98">
        <f>IF(N206="snížená",J206,0)</f>
        <v>0</v>
      </c>
      <c r="BG206" s="98">
        <f>IF(N206="zákl. přenesená",J206,0)</f>
        <v>0</v>
      </c>
      <c r="BH206" s="98">
        <f>IF(N206="sníž. přenesená",J206,0)</f>
        <v>0</v>
      </c>
      <c r="BI206" s="98">
        <f>IF(N206="nulová",J206,0)</f>
        <v>0</v>
      </c>
      <c r="BJ206" s="10" t="s">
        <v>46</v>
      </c>
      <c r="BK206" s="98">
        <f>ROUND(I206*H206,2)</f>
        <v>3978.99</v>
      </c>
      <c r="BL206" s="10" t="s">
        <v>83</v>
      </c>
      <c r="BM206" s="97" t="s">
        <v>256</v>
      </c>
    </row>
    <row r="207" spans="1:65" s="1" customFormat="1" x14ac:dyDescent="0.2">
      <c r="A207" s="156"/>
      <c r="B207" s="16"/>
      <c r="C207" s="156"/>
      <c r="D207" s="99" t="s">
        <v>84</v>
      </c>
      <c r="E207" s="156"/>
      <c r="F207" s="100" t="s">
        <v>128</v>
      </c>
      <c r="G207" s="156"/>
      <c r="H207" s="156"/>
      <c r="I207" s="101"/>
      <c r="J207" s="156"/>
      <c r="K207" s="156"/>
      <c r="L207" s="16"/>
      <c r="M207" s="102"/>
      <c r="N207" s="103"/>
      <c r="O207" s="27"/>
      <c r="P207" s="27"/>
      <c r="Q207" s="27"/>
      <c r="R207" s="27"/>
      <c r="S207" s="27"/>
      <c r="T207" s="28"/>
      <c r="U207" s="156"/>
      <c r="V207" s="156"/>
      <c r="W207" s="156"/>
      <c r="X207" s="156"/>
      <c r="Y207" s="156"/>
      <c r="Z207" s="156"/>
      <c r="AA207" s="156"/>
      <c r="AB207" s="156"/>
      <c r="AC207" s="156"/>
      <c r="AD207" s="156"/>
      <c r="AE207" s="156"/>
      <c r="AT207" s="10" t="s">
        <v>84</v>
      </c>
      <c r="AU207" s="10" t="s">
        <v>47</v>
      </c>
    </row>
    <row r="208" spans="1:65" s="1" customFormat="1" ht="19.5" x14ac:dyDescent="0.2">
      <c r="A208" s="156"/>
      <c r="B208" s="16"/>
      <c r="C208" s="156"/>
      <c r="D208" s="99" t="s">
        <v>86</v>
      </c>
      <c r="E208" s="156"/>
      <c r="F208" s="104" t="s">
        <v>130</v>
      </c>
      <c r="G208" s="156"/>
      <c r="H208" s="156"/>
      <c r="I208" s="101"/>
      <c r="J208" s="156"/>
      <c r="K208" s="156"/>
      <c r="L208" s="16"/>
      <c r="M208" s="102"/>
      <c r="N208" s="103"/>
      <c r="O208" s="27"/>
      <c r="P208" s="27"/>
      <c r="Q208" s="27"/>
      <c r="R208" s="27"/>
      <c r="S208" s="27"/>
      <c r="T208" s="28"/>
      <c r="U208" s="156"/>
      <c r="V208" s="156"/>
      <c r="W208" s="156"/>
      <c r="X208" s="156"/>
      <c r="Y208" s="156"/>
      <c r="Z208" s="156"/>
      <c r="AA208" s="156"/>
      <c r="AB208" s="156"/>
      <c r="AC208" s="156"/>
      <c r="AD208" s="156"/>
      <c r="AE208" s="156"/>
      <c r="AT208" s="10" t="s">
        <v>86</v>
      </c>
      <c r="AU208" s="10" t="s">
        <v>47</v>
      </c>
    </row>
    <row r="209" spans="1:65" s="7" customFormat="1" x14ac:dyDescent="0.2">
      <c r="B209" s="112"/>
      <c r="D209" s="99" t="s">
        <v>87</v>
      </c>
      <c r="F209" s="114" t="s">
        <v>552</v>
      </c>
      <c r="H209" s="115">
        <f>H193*2</f>
        <v>10.199999999999999</v>
      </c>
      <c r="I209" s="116"/>
      <c r="L209" s="112"/>
      <c r="M209" s="117"/>
      <c r="N209" s="118"/>
      <c r="O209" s="118"/>
      <c r="P209" s="118"/>
      <c r="Q209" s="118"/>
      <c r="R209" s="118"/>
      <c r="S209" s="118"/>
      <c r="T209" s="119"/>
      <c r="AT209" s="113" t="s">
        <v>87</v>
      </c>
      <c r="AU209" s="113" t="s">
        <v>47</v>
      </c>
      <c r="AV209" s="7" t="s">
        <v>47</v>
      </c>
      <c r="AW209" s="7" t="s">
        <v>1</v>
      </c>
      <c r="AX209" s="7" t="s">
        <v>46</v>
      </c>
      <c r="AY209" s="113" t="s">
        <v>75</v>
      </c>
    </row>
    <row r="210" spans="1:65" s="1" customFormat="1" ht="24.2" customHeight="1" x14ac:dyDescent="0.2">
      <c r="A210" s="156"/>
      <c r="B210" s="85"/>
      <c r="C210" s="86" t="s">
        <v>139</v>
      </c>
      <c r="D210" s="86" t="s">
        <v>78</v>
      </c>
      <c r="E210" s="87" t="s">
        <v>162</v>
      </c>
      <c r="F210" s="88" t="s">
        <v>163</v>
      </c>
      <c r="G210" s="89" t="s">
        <v>81</v>
      </c>
      <c r="H210" s="90">
        <v>1.4630000000000001</v>
      </c>
      <c r="I210" s="91">
        <v>510.38291484661499</v>
      </c>
      <c r="J210" s="92">
        <f>ROUND(I210*H210,2)</f>
        <v>746.69</v>
      </c>
      <c r="K210" s="88" t="s">
        <v>82</v>
      </c>
      <c r="L210" s="16"/>
      <c r="M210" s="93" t="s">
        <v>0</v>
      </c>
      <c r="N210" s="94" t="s">
        <v>27</v>
      </c>
      <c r="O210" s="27"/>
      <c r="P210" s="95">
        <f>O210*H210</f>
        <v>0</v>
      </c>
      <c r="Q210" s="95">
        <v>0</v>
      </c>
      <c r="R210" s="95">
        <f>Q210*H210</f>
        <v>0</v>
      </c>
      <c r="S210" s="95">
        <v>0</v>
      </c>
      <c r="T210" s="96">
        <f>S210*H210</f>
        <v>0</v>
      </c>
      <c r="U210" s="156"/>
      <c r="V210" s="156"/>
      <c r="W210" s="156"/>
      <c r="X210" s="156"/>
      <c r="Y210" s="156"/>
      <c r="Z210" s="156"/>
      <c r="AA210" s="156"/>
      <c r="AB210" s="156"/>
      <c r="AC210" s="156"/>
      <c r="AD210" s="156"/>
      <c r="AE210" s="156"/>
      <c r="AR210" s="97" t="s">
        <v>83</v>
      </c>
      <c r="AT210" s="97" t="s">
        <v>78</v>
      </c>
      <c r="AU210" s="97" t="s">
        <v>47</v>
      </c>
      <c r="AY210" s="10" t="s">
        <v>75</v>
      </c>
      <c r="BE210" s="98">
        <f>IF(N210="základní",J210,0)</f>
        <v>746.69</v>
      </c>
      <c r="BF210" s="98">
        <f>IF(N210="snížená",J210,0)</f>
        <v>0</v>
      </c>
      <c r="BG210" s="98">
        <f>IF(N210="zákl. přenesená",J210,0)</f>
        <v>0</v>
      </c>
      <c r="BH210" s="98">
        <f>IF(N210="sníž. přenesená",J210,0)</f>
        <v>0</v>
      </c>
      <c r="BI210" s="98">
        <f>IF(N210="nulová",J210,0)</f>
        <v>0</v>
      </c>
      <c r="BJ210" s="10" t="s">
        <v>46</v>
      </c>
      <c r="BK210" s="98">
        <f>ROUND(I210*H210,2)</f>
        <v>746.69</v>
      </c>
      <c r="BL210" s="10" t="s">
        <v>83</v>
      </c>
      <c r="BM210" s="97" t="s">
        <v>257</v>
      </c>
    </row>
    <row r="211" spans="1:65" s="1" customFormat="1" ht="39" x14ac:dyDescent="0.2">
      <c r="A211" s="156"/>
      <c r="B211" s="16"/>
      <c r="C211" s="156"/>
      <c r="D211" s="99" t="s">
        <v>84</v>
      </c>
      <c r="E211" s="156"/>
      <c r="F211" s="100" t="s">
        <v>164</v>
      </c>
      <c r="G211" s="156"/>
      <c r="H211" s="156"/>
      <c r="I211" s="101"/>
      <c r="J211" s="156"/>
      <c r="K211" s="156"/>
      <c r="L211" s="16"/>
      <c r="M211" s="102"/>
      <c r="N211" s="103"/>
      <c r="O211" s="27"/>
      <c r="P211" s="27"/>
      <c r="Q211" s="27"/>
      <c r="R211" s="27"/>
      <c r="S211" s="27"/>
      <c r="T211" s="28"/>
      <c r="U211" s="156"/>
      <c r="V211" s="156"/>
      <c r="W211" s="156"/>
      <c r="X211" s="156"/>
      <c r="Y211" s="156"/>
      <c r="Z211" s="156"/>
      <c r="AA211" s="156"/>
      <c r="AB211" s="156"/>
      <c r="AC211" s="156"/>
      <c r="AD211" s="156"/>
      <c r="AE211" s="156"/>
      <c r="AT211" s="10" t="s">
        <v>84</v>
      </c>
      <c r="AU211" s="10" t="s">
        <v>47</v>
      </c>
    </row>
    <row r="212" spans="1:65" s="1" customFormat="1" ht="29.25" x14ac:dyDescent="0.2">
      <c r="A212" s="156"/>
      <c r="B212" s="16"/>
      <c r="C212" s="156"/>
      <c r="D212" s="99" t="s">
        <v>86</v>
      </c>
      <c r="E212" s="156"/>
      <c r="F212" s="104" t="s">
        <v>414</v>
      </c>
      <c r="G212" s="156"/>
      <c r="H212" s="156"/>
      <c r="I212" s="101"/>
      <c r="J212" s="156"/>
      <c r="K212" s="156"/>
      <c r="L212" s="16"/>
      <c r="M212" s="102"/>
      <c r="N212" s="103"/>
      <c r="O212" s="27"/>
      <c r="P212" s="27"/>
      <c r="Q212" s="27"/>
      <c r="R212" s="27"/>
      <c r="S212" s="27"/>
      <c r="T212" s="28"/>
      <c r="U212" s="156"/>
      <c r="V212" s="156"/>
      <c r="W212" s="156"/>
      <c r="X212" s="156"/>
      <c r="Y212" s="156"/>
      <c r="Z212" s="156"/>
      <c r="AA212" s="156"/>
      <c r="AB212" s="156"/>
      <c r="AC212" s="156"/>
      <c r="AD212" s="156"/>
      <c r="AE212" s="156"/>
      <c r="AT212" s="10" t="s">
        <v>86</v>
      </c>
      <c r="AU212" s="10" t="s">
        <v>47</v>
      </c>
    </row>
    <row r="213" spans="1:65" s="7" customFormat="1" x14ac:dyDescent="0.2">
      <c r="B213" s="112"/>
      <c r="D213" s="99" t="s">
        <v>87</v>
      </c>
      <c r="E213" s="113" t="s">
        <v>0</v>
      </c>
      <c r="F213" s="114" t="s">
        <v>548</v>
      </c>
      <c r="H213" s="115">
        <f>3.25*0.45</f>
        <v>1.4625000000000001</v>
      </c>
      <c r="I213" s="116"/>
      <c r="L213" s="112"/>
      <c r="M213" s="117"/>
      <c r="N213" s="118"/>
      <c r="O213" s="118"/>
      <c r="P213" s="118"/>
      <c r="Q213" s="118"/>
      <c r="R213" s="118"/>
      <c r="S213" s="118"/>
      <c r="T213" s="119"/>
      <c r="AT213" s="113" t="s">
        <v>87</v>
      </c>
      <c r="AU213" s="113" t="s">
        <v>47</v>
      </c>
      <c r="AV213" s="7" t="s">
        <v>47</v>
      </c>
      <c r="AW213" s="7" t="s">
        <v>19</v>
      </c>
      <c r="AX213" s="7" t="s">
        <v>46</v>
      </c>
      <c r="AY213" s="113" t="s">
        <v>75</v>
      </c>
    </row>
    <row r="214" spans="1:65" s="1" customFormat="1" ht="14.45" customHeight="1" x14ac:dyDescent="0.2">
      <c r="A214" s="156"/>
      <c r="B214" s="85"/>
      <c r="C214" s="136" t="s">
        <v>116</v>
      </c>
      <c r="D214" s="136" t="s">
        <v>126</v>
      </c>
      <c r="E214" s="137" t="s">
        <v>144</v>
      </c>
      <c r="F214" s="138" t="s">
        <v>145</v>
      </c>
      <c r="G214" s="139" t="s">
        <v>119</v>
      </c>
      <c r="H214" s="140">
        <v>2.9260000000000002</v>
      </c>
      <c r="I214" s="141">
        <v>380.62816190000001</v>
      </c>
      <c r="J214" s="142">
        <f>ROUND(I214*H214,2)</f>
        <v>1113.72</v>
      </c>
      <c r="K214" s="138" t="s">
        <v>82</v>
      </c>
      <c r="L214" s="143"/>
      <c r="M214" s="144" t="s">
        <v>0</v>
      </c>
      <c r="N214" s="145" t="s">
        <v>27</v>
      </c>
      <c r="O214" s="27"/>
      <c r="P214" s="95">
        <f>O214*H214</f>
        <v>0</v>
      </c>
      <c r="Q214" s="95">
        <v>1</v>
      </c>
      <c r="R214" s="95">
        <f>Q214*H214</f>
        <v>2.9260000000000002</v>
      </c>
      <c r="S214" s="95">
        <v>0</v>
      </c>
      <c r="T214" s="96">
        <f>S214*H214</f>
        <v>0</v>
      </c>
      <c r="U214" s="156"/>
      <c r="V214" s="156"/>
      <c r="W214" s="156"/>
      <c r="X214" s="156"/>
      <c r="Y214" s="156"/>
      <c r="Z214" s="156"/>
      <c r="AA214" s="156"/>
      <c r="AB214" s="156"/>
      <c r="AC214" s="156"/>
      <c r="AD214" s="156"/>
      <c r="AE214" s="156"/>
      <c r="AR214" s="97" t="s">
        <v>129</v>
      </c>
      <c r="AT214" s="97" t="s">
        <v>126</v>
      </c>
      <c r="AU214" s="97" t="s">
        <v>47</v>
      </c>
      <c r="AY214" s="10" t="s">
        <v>75</v>
      </c>
      <c r="BE214" s="98">
        <f>IF(N214="základní",J214,0)</f>
        <v>1113.72</v>
      </c>
      <c r="BF214" s="98">
        <f>IF(N214="snížená",J214,0)</f>
        <v>0</v>
      </c>
      <c r="BG214" s="98">
        <f>IF(N214="zákl. přenesená",J214,0)</f>
        <v>0</v>
      </c>
      <c r="BH214" s="98">
        <f>IF(N214="sníž. přenesená",J214,0)</f>
        <v>0</v>
      </c>
      <c r="BI214" s="98">
        <f>IF(N214="nulová",J214,0)</f>
        <v>0</v>
      </c>
      <c r="BJ214" s="10" t="s">
        <v>46</v>
      </c>
      <c r="BK214" s="98">
        <f>ROUND(I214*H214,2)</f>
        <v>1113.72</v>
      </c>
      <c r="BL214" s="10" t="s">
        <v>83</v>
      </c>
      <c r="BM214" s="97" t="s">
        <v>258</v>
      </c>
    </row>
    <row r="215" spans="1:65" s="1" customFormat="1" x14ac:dyDescent="0.2">
      <c r="A215" s="156"/>
      <c r="B215" s="16"/>
      <c r="C215" s="156"/>
      <c r="D215" s="99" t="s">
        <v>84</v>
      </c>
      <c r="E215" s="156"/>
      <c r="F215" s="100" t="s">
        <v>145</v>
      </c>
      <c r="G215" s="156"/>
      <c r="H215" s="156"/>
      <c r="I215" s="101"/>
      <c r="J215" s="156"/>
      <c r="K215" s="156"/>
      <c r="L215" s="16"/>
      <c r="M215" s="102"/>
      <c r="N215" s="103"/>
      <c r="O215" s="27"/>
      <c r="P215" s="27"/>
      <c r="Q215" s="27"/>
      <c r="R215" s="27"/>
      <c r="S215" s="27"/>
      <c r="T215" s="28"/>
      <c r="U215" s="156"/>
      <c r="V215" s="156"/>
      <c r="W215" s="156"/>
      <c r="X215" s="156"/>
      <c r="Y215" s="156"/>
      <c r="Z215" s="156"/>
      <c r="AA215" s="156"/>
      <c r="AB215" s="156"/>
      <c r="AC215" s="156"/>
      <c r="AD215" s="156"/>
      <c r="AE215" s="156"/>
      <c r="AT215" s="10" t="s">
        <v>84</v>
      </c>
      <c r="AU215" s="10" t="s">
        <v>47</v>
      </c>
    </row>
    <row r="216" spans="1:65" s="7" customFormat="1" x14ac:dyDescent="0.2">
      <c r="B216" s="112"/>
      <c r="D216" s="99" t="s">
        <v>87</v>
      </c>
      <c r="F216" s="114" t="s">
        <v>553</v>
      </c>
      <c r="H216" s="115">
        <f>H210*2</f>
        <v>2.9260000000000002</v>
      </c>
      <c r="I216" s="116"/>
      <c r="L216" s="112"/>
      <c r="M216" s="117"/>
      <c r="N216" s="118"/>
      <c r="O216" s="118"/>
      <c r="P216" s="118"/>
      <c r="Q216" s="118"/>
      <c r="R216" s="118"/>
      <c r="S216" s="118"/>
      <c r="T216" s="119"/>
      <c r="AT216" s="113" t="s">
        <v>87</v>
      </c>
      <c r="AU216" s="113" t="s">
        <v>47</v>
      </c>
      <c r="AV216" s="7" t="s">
        <v>47</v>
      </c>
      <c r="AW216" s="7" t="s">
        <v>1</v>
      </c>
      <c r="AX216" s="7" t="s">
        <v>46</v>
      </c>
      <c r="AY216" s="113" t="s">
        <v>75</v>
      </c>
    </row>
    <row r="217" spans="1:65" s="1" customFormat="1" ht="24.2" customHeight="1" x14ac:dyDescent="0.2">
      <c r="A217" s="156"/>
      <c r="B217" s="85"/>
      <c r="C217" s="86" t="s">
        <v>3</v>
      </c>
      <c r="D217" s="86" t="s">
        <v>78</v>
      </c>
      <c r="E217" s="87" t="s">
        <v>259</v>
      </c>
      <c r="F217" s="88" t="s">
        <v>260</v>
      </c>
      <c r="G217" s="89" t="s">
        <v>100</v>
      </c>
      <c r="H217" s="90">
        <v>1</v>
      </c>
      <c r="I217" s="91">
        <v>64.410667599999996</v>
      </c>
      <c r="J217" s="92">
        <f>ROUND(I217*H217,2)</f>
        <v>64.41</v>
      </c>
      <c r="K217" s="88" t="s">
        <v>0</v>
      </c>
      <c r="L217" s="16"/>
      <c r="M217" s="93" t="s">
        <v>0</v>
      </c>
      <c r="N217" s="94" t="s">
        <v>27</v>
      </c>
      <c r="O217" s="27"/>
      <c r="P217" s="95">
        <f>O217*H217</f>
        <v>0</v>
      </c>
      <c r="Q217" s="95">
        <v>0</v>
      </c>
      <c r="R217" s="95">
        <f>Q217*H217</f>
        <v>0</v>
      </c>
      <c r="S217" s="95">
        <v>0</v>
      </c>
      <c r="T217" s="96">
        <f>S217*H217</f>
        <v>0</v>
      </c>
      <c r="U217" s="156"/>
      <c r="V217" s="156"/>
      <c r="W217" s="156"/>
      <c r="X217" s="156"/>
      <c r="Y217" s="156"/>
      <c r="Z217" s="156"/>
      <c r="AA217" s="156"/>
      <c r="AB217" s="156"/>
      <c r="AC217" s="156"/>
      <c r="AD217" s="156"/>
      <c r="AE217" s="156"/>
      <c r="AR217" s="97" t="s">
        <v>83</v>
      </c>
      <c r="AT217" s="97" t="s">
        <v>78</v>
      </c>
      <c r="AU217" s="97" t="s">
        <v>47</v>
      </c>
      <c r="AY217" s="10" t="s">
        <v>75</v>
      </c>
      <c r="BE217" s="98">
        <f>IF(N217="základní",J217,0)</f>
        <v>64.41</v>
      </c>
      <c r="BF217" s="98">
        <f>IF(N217="snížená",J217,0)</f>
        <v>0</v>
      </c>
      <c r="BG217" s="98">
        <f>IF(N217="zákl. přenesená",J217,0)</f>
        <v>0</v>
      </c>
      <c r="BH217" s="98">
        <f>IF(N217="sníž. přenesená",J217,0)</f>
        <v>0</v>
      </c>
      <c r="BI217" s="98">
        <f>IF(N217="nulová",J217,0)</f>
        <v>0</v>
      </c>
      <c r="BJ217" s="10" t="s">
        <v>46</v>
      </c>
      <c r="BK217" s="98">
        <f>ROUND(I217*H217,2)</f>
        <v>64.41</v>
      </c>
      <c r="BL217" s="10" t="s">
        <v>83</v>
      </c>
      <c r="BM217" s="97" t="s">
        <v>261</v>
      </c>
    </row>
    <row r="218" spans="1:65" s="1" customFormat="1" x14ac:dyDescent="0.2">
      <c r="A218" s="156"/>
      <c r="B218" s="16"/>
      <c r="C218" s="156"/>
      <c r="D218" s="99" t="s">
        <v>84</v>
      </c>
      <c r="E218" s="156"/>
      <c r="F218" s="100" t="s">
        <v>260</v>
      </c>
      <c r="G218" s="156"/>
      <c r="H218" s="156"/>
      <c r="I218" s="101"/>
      <c r="J218" s="156"/>
      <c r="K218" s="156"/>
      <c r="L218" s="16"/>
      <c r="M218" s="102"/>
      <c r="N218" s="103"/>
      <c r="O218" s="27"/>
      <c r="P218" s="27"/>
      <c r="Q218" s="27"/>
      <c r="R218" s="27"/>
      <c r="S218" s="27"/>
      <c r="T218" s="28"/>
      <c r="U218" s="156"/>
      <c r="V218" s="156"/>
      <c r="W218" s="156"/>
      <c r="X218" s="156"/>
      <c r="Y218" s="156"/>
      <c r="Z218" s="156"/>
      <c r="AA218" s="156"/>
      <c r="AB218" s="156"/>
      <c r="AC218" s="156"/>
      <c r="AD218" s="156"/>
      <c r="AE218" s="156"/>
      <c r="AT218" s="10" t="s">
        <v>84</v>
      </c>
      <c r="AU218" s="10" t="s">
        <v>47</v>
      </c>
    </row>
    <row r="219" spans="1:65" s="1" customFormat="1" ht="24.2" customHeight="1" x14ac:dyDescent="0.2">
      <c r="A219" s="156"/>
      <c r="B219" s="85"/>
      <c r="C219" s="86" t="s">
        <v>125</v>
      </c>
      <c r="D219" s="86" t="s">
        <v>78</v>
      </c>
      <c r="E219" s="87" t="s">
        <v>262</v>
      </c>
      <c r="F219" s="88" t="s">
        <v>263</v>
      </c>
      <c r="G219" s="89" t="s">
        <v>100</v>
      </c>
      <c r="H219" s="90">
        <v>1</v>
      </c>
      <c r="I219" s="91">
        <v>48.300657632010001</v>
      </c>
      <c r="J219" s="92">
        <f>ROUND(I219*H219,2)</f>
        <v>48.3</v>
      </c>
      <c r="K219" s="88" t="s">
        <v>82</v>
      </c>
      <c r="L219" s="16"/>
      <c r="M219" s="93" t="s">
        <v>0</v>
      </c>
      <c r="N219" s="94" t="s">
        <v>27</v>
      </c>
      <c r="O219" s="27"/>
      <c r="P219" s="95">
        <f>O219*H219</f>
        <v>0</v>
      </c>
      <c r="Q219" s="95">
        <v>0</v>
      </c>
      <c r="R219" s="95">
        <f>Q219*H219</f>
        <v>0</v>
      </c>
      <c r="S219" s="95">
        <v>0</v>
      </c>
      <c r="T219" s="96">
        <f>S219*H219</f>
        <v>0</v>
      </c>
      <c r="U219" s="156"/>
      <c r="V219" s="156"/>
      <c r="W219" s="156"/>
      <c r="X219" s="156"/>
      <c r="Y219" s="156"/>
      <c r="Z219" s="156"/>
      <c r="AA219" s="156"/>
      <c r="AB219" s="156"/>
      <c r="AC219" s="156"/>
      <c r="AD219" s="156"/>
      <c r="AE219" s="156"/>
      <c r="AR219" s="97" t="s">
        <v>83</v>
      </c>
      <c r="AT219" s="97" t="s">
        <v>78</v>
      </c>
      <c r="AU219" s="97" t="s">
        <v>47</v>
      </c>
      <c r="AY219" s="10" t="s">
        <v>75</v>
      </c>
      <c r="BE219" s="98">
        <f>IF(N219="základní",J219,0)</f>
        <v>48.3</v>
      </c>
      <c r="BF219" s="98">
        <f>IF(N219="snížená",J219,0)</f>
        <v>0</v>
      </c>
      <c r="BG219" s="98">
        <f>IF(N219="zákl. přenesená",J219,0)</f>
        <v>0</v>
      </c>
      <c r="BH219" s="98">
        <f>IF(N219="sníž. přenesená",J219,0)</f>
        <v>0</v>
      </c>
      <c r="BI219" s="98">
        <f>IF(N219="nulová",J219,0)</f>
        <v>0</v>
      </c>
      <c r="BJ219" s="10" t="s">
        <v>46</v>
      </c>
      <c r="BK219" s="98">
        <f>ROUND(I219*H219,2)</f>
        <v>48.3</v>
      </c>
      <c r="BL219" s="10" t="s">
        <v>83</v>
      </c>
      <c r="BM219" s="97" t="s">
        <v>264</v>
      </c>
    </row>
    <row r="220" spans="1:65" s="1" customFormat="1" ht="29.25" x14ac:dyDescent="0.2">
      <c r="A220" s="156"/>
      <c r="B220" s="16"/>
      <c r="C220" s="156"/>
      <c r="D220" s="99" t="s">
        <v>84</v>
      </c>
      <c r="E220" s="156"/>
      <c r="F220" s="100" t="s">
        <v>265</v>
      </c>
      <c r="G220" s="156"/>
      <c r="H220" s="156"/>
      <c r="I220" s="101"/>
      <c r="J220" s="156"/>
      <c r="K220" s="156"/>
      <c r="L220" s="16"/>
      <c r="M220" s="102"/>
      <c r="N220" s="103"/>
      <c r="O220" s="27"/>
      <c r="P220" s="27"/>
      <c r="Q220" s="27"/>
      <c r="R220" s="27"/>
      <c r="S220" s="27"/>
      <c r="T220" s="28"/>
      <c r="U220" s="156"/>
      <c r="V220" s="156"/>
      <c r="W220" s="156"/>
      <c r="X220" s="156"/>
      <c r="Y220" s="156"/>
      <c r="Z220" s="156"/>
      <c r="AA220" s="156"/>
      <c r="AB220" s="156"/>
      <c r="AC220" s="156"/>
      <c r="AD220" s="156"/>
      <c r="AE220" s="156"/>
      <c r="AT220" s="10" t="s">
        <v>84</v>
      </c>
      <c r="AU220" s="10" t="s">
        <v>47</v>
      </c>
    </row>
    <row r="221" spans="1:65" s="1" customFormat="1" ht="24.2" customHeight="1" x14ac:dyDescent="0.2">
      <c r="A221" s="156"/>
      <c r="B221" s="85"/>
      <c r="C221" s="86" t="s">
        <v>141</v>
      </c>
      <c r="D221" s="86" t="s">
        <v>78</v>
      </c>
      <c r="E221" s="87" t="s">
        <v>132</v>
      </c>
      <c r="F221" s="88" t="s">
        <v>133</v>
      </c>
      <c r="G221" s="89" t="s">
        <v>119</v>
      </c>
      <c r="H221" s="90">
        <v>13.125999999999999</v>
      </c>
      <c r="I221" s="91">
        <v>61.737071122597108</v>
      </c>
      <c r="J221" s="92">
        <f>ROUND(I221*H221,2)</f>
        <v>810.36</v>
      </c>
      <c r="K221" s="88" t="s">
        <v>82</v>
      </c>
      <c r="L221" s="16"/>
      <c r="M221" s="93" t="s">
        <v>0</v>
      </c>
      <c r="N221" s="94" t="s">
        <v>27</v>
      </c>
      <c r="O221" s="27"/>
      <c r="P221" s="95">
        <f>O221*H221</f>
        <v>0</v>
      </c>
      <c r="Q221" s="95">
        <v>0</v>
      </c>
      <c r="R221" s="95">
        <f>Q221*H221</f>
        <v>0</v>
      </c>
      <c r="S221" s="95">
        <v>0</v>
      </c>
      <c r="T221" s="96">
        <f>S221*H221</f>
        <v>0</v>
      </c>
      <c r="U221" s="156"/>
      <c r="V221" s="156"/>
      <c r="W221" s="156"/>
      <c r="X221" s="156"/>
      <c r="Y221" s="156"/>
      <c r="Z221" s="156"/>
      <c r="AA221" s="156"/>
      <c r="AB221" s="156"/>
      <c r="AC221" s="156"/>
      <c r="AD221" s="156"/>
      <c r="AE221" s="156"/>
      <c r="AR221" s="97" t="s">
        <v>83</v>
      </c>
      <c r="AT221" s="97" t="s">
        <v>78</v>
      </c>
      <c r="AU221" s="97" t="s">
        <v>47</v>
      </c>
      <c r="AY221" s="10" t="s">
        <v>75</v>
      </c>
      <c r="BE221" s="98">
        <f>IF(N221="základní",J221,0)</f>
        <v>810.36</v>
      </c>
      <c r="BF221" s="98">
        <f>IF(N221="snížená",J221,0)</f>
        <v>0</v>
      </c>
      <c r="BG221" s="98">
        <f>IF(N221="zákl. přenesená",J221,0)</f>
        <v>0</v>
      </c>
      <c r="BH221" s="98">
        <f>IF(N221="sníž. přenesená",J221,0)</f>
        <v>0</v>
      </c>
      <c r="BI221" s="98">
        <f>IF(N221="nulová",J221,0)</f>
        <v>0</v>
      </c>
      <c r="BJ221" s="10" t="s">
        <v>46</v>
      </c>
      <c r="BK221" s="98">
        <f>ROUND(I221*H221,2)</f>
        <v>810.36</v>
      </c>
      <c r="BL221" s="10" t="s">
        <v>83</v>
      </c>
      <c r="BM221" s="97" t="s">
        <v>266</v>
      </c>
    </row>
    <row r="222" spans="1:65" s="1" customFormat="1" ht="29.25" x14ac:dyDescent="0.2">
      <c r="A222" s="156"/>
      <c r="B222" s="16"/>
      <c r="C222" s="156"/>
      <c r="D222" s="99" t="s">
        <v>84</v>
      </c>
      <c r="E222" s="156"/>
      <c r="F222" s="100" t="s">
        <v>134</v>
      </c>
      <c r="G222" s="156"/>
      <c r="H222" s="156"/>
      <c r="I222" s="101"/>
      <c r="J222" s="156"/>
      <c r="K222" s="156"/>
      <c r="L222" s="16"/>
      <c r="M222" s="102"/>
      <c r="N222" s="103"/>
      <c r="O222" s="27"/>
      <c r="P222" s="27"/>
      <c r="Q222" s="27"/>
      <c r="R222" s="27"/>
      <c r="S222" s="27"/>
      <c r="T222" s="28"/>
      <c r="U222" s="156"/>
      <c r="V222" s="156"/>
      <c r="W222" s="156"/>
      <c r="X222" s="156"/>
      <c r="Y222" s="156"/>
      <c r="Z222" s="156"/>
      <c r="AA222" s="156"/>
      <c r="AB222" s="156"/>
      <c r="AC222" s="156"/>
      <c r="AD222" s="156"/>
      <c r="AE222" s="156"/>
      <c r="AT222" s="10" t="s">
        <v>84</v>
      </c>
      <c r="AU222" s="10" t="s">
        <v>47</v>
      </c>
    </row>
    <row r="223" spans="1:65" s="7" customFormat="1" x14ac:dyDescent="0.2">
      <c r="B223" s="112"/>
      <c r="D223" s="99" t="s">
        <v>87</v>
      </c>
      <c r="E223" s="113" t="s">
        <v>0</v>
      </c>
      <c r="F223" s="114" t="s">
        <v>554</v>
      </c>
      <c r="H223" s="115">
        <f>H206+H214</f>
        <v>13.125999999999999</v>
      </c>
      <c r="I223" s="116"/>
      <c r="L223" s="112"/>
      <c r="M223" s="117"/>
      <c r="N223" s="118"/>
      <c r="O223" s="118"/>
      <c r="P223" s="118"/>
      <c r="Q223" s="118"/>
      <c r="R223" s="118"/>
      <c r="S223" s="118"/>
      <c r="T223" s="119"/>
      <c r="AT223" s="113" t="s">
        <v>87</v>
      </c>
      <c r="AU223" s="113" t="s">
        <v>47</v>
      </c>
      <c r="AV223" s="7" t="s">
        <v>47</v>
      </c>
      <c r="AW223" s="7" t="s">
        <v>19</v>
      </c>
      <c r="AX223" s="7" t="s">
        <v>46</v>
      </c>
      <c r="AY223" s="113" t="s">
        <v>75</v>
      </c>
    </row>
    <row r="224" spans="1:65" s="5" customFormat="1" ht="22.9" customHeight="1" x14ac:dyDescent="0.2">
      <c r="B224" s="72"/>
      <c r="D224" s="73" t="s">
        <v>44</v>
      </c>
      <c r="E224" s="83" t="s">
        <v>47</v>
      </c>
      <c r="F224" s="83" t="s">
        <v>267</v>
      </c>
      <c r="I224" s="75"/>
      <c r="J224" s="84">
        <f>BK224</f>
        <v>858.22</v>
      </c>
      <c r="L224" s="72"/>
      <c r="M224" s="77"/>
      <c r="N224" s="78"/>
      <c r="O224" s="78"/>
      <c r="P224" s="79">
        <f>SUM(P225:P226)</f>
        <v>0</v>
      </c>
      <c r="Q224" s="78"/>
      <c r="R224" s="79">
        <f>SUM(R225:R226)</f>
        <v>0.66524250000000007</v>
      </c>
      <c r="S224" s="78"/>
      <c r="T224" s="80">
        <f>SUM(T225:T226)</f>
        <v>0</v>
      </c>
      <c r="AR224" s="73" t="s">
        <v>46</v>
      </c>
      <c r="AT224" s="81" t="s">
        <v>44</v>
      </c>
      <c r="AU224" s="81" t="s">
        <v>46</v>
      </c>
      <c r="AY224" s="73" t="s">
        <v>75</v>
      </c>
      <c r="BK224" s="82">
        <f>SUM(BK225:BK226)</f>
        <v>858.22</v>
      </c>
    </row>
    <row r="225" spans="1:65" s="1" customFormat="1" ht="37.9" customHeight="1" x14ac:dyDescent="0.2">
      <c r="A225" s="156"/>
      <c r="B225" s="85"/>
      <c r="C225" s="86" t="s">
        <v>161</v>
      </c>
      <c r="D225" s="86" t="s">
        <v>78</v>
      </c>
      <c r="E225" s="87" t="s">
        <v>268</v>
      </c>
      <c r="F225" s="88" t="s">
        <v>269</v>
      </c>
      <c r="G225" s="89" t="s">
        <v>270</v>
      </c>
      <c r="H225" s="90">
        <v>3.25</v>
      </c>
      <c r="I225" s="91">
        <v>264.06831423630393</v>
      </c>
      <c r="J225" s="92">
        <f>ROUND(I225*H225,2)</f>
        <v>858.22</v>
      </c>
      <c r="K225" s="88" t="s">
        <v>82</v>
      </c>
      <c r="L225" s="16"/>
      <c r="M225" s="93" t="s">
        <v>0</v>
      </c>
      <c r="N225" s="94" t="s">
        <v>27</v>
      </c>
      <c r="O225" s="27"/>
      <c r="P225" s="95">
        <f>O225*H225</f>
        <v>0</v>
      </c>
      <c r="Q225" s="95">
        <v>0.20469000000000001</v>
      </c>
      <c r="R225" s="95">
        <f>Q225*H225</f>
        <v>0.66524250000000007</v>
      </c>
      <c r="S225" s="95">
        <v>0</v>
      </c>
      <c r="T225" s="96">
        <f>S225*H225</f>
        <v>0</v>
      </c>
      <c r="U225" s="156"/>
      <c r="V225" s="156"/>
      <c r="W225" s="156"/>
      <c r="X225" s="156"/>
      <c r="Y225" s="156"/>
      <c r="Z225" s="156"/>
      <c r="AA225" s="156"/>
      <c r="AB225" s="156"/>
      <c r="AC225" s="156"/>
      <c r="AD225" s="156"/>
      <c r="AE225" s="156"/>
      <c r="AR225" s="97" t="s">
        <v>83</v>
      </c>
      <c r="AT225" s="97" t="s">
        <v>78</v>
      </c>
      <c r="AU225" s="97" t="s">
        <v>47</v>
      </c>
      <c r="AY225" s="10" t="s">
        <v>75</v>
      </c>
      <c r="BE225" s="98">
        <f>IF(N225="základní",J225,0)</f>
        <v>858.22</v>
      </c>
      <c r="BF225" s="98">
        <f>IF(N225="snížená",J225,0)</f>
        <v>0</v>
      </c>
      <c r="BG225" s="98">
        <f>IF(N225="zákl. přenesená",J225,0)</f>
        <v>0</v>
      </c>
      <c r="BH225" s="98">
        <f>IF(N225="sníž. přenesená",J225,0)</f>
        <v>0</v>
      </c>
      <c r="BI225" s="98">
        <f>IF(N225="nulová",J225,0)</f>
        <v>0</v>
      </c>
      <c r="BJ225" s="10" t="s">
        <v>46</v>
      </c>
      <c r="BK225" s="98">
        <f>ROUND(I225*H225,2)</f>
        <v>858.22</v>
      </c>
      <c r="BL225" s="10" t="s">
        <v>83</v>
      </c>
      <c r="BM225" s="97" t="s">
        <v>271</v>
      </c>
    </row>
    <row r="226" spans="1:65" s="1" customFormat="1" ht="39" x14ac:dyDescent="0.2">
      <c r="A226" s="156"/>
      <c r="B226" s="16"/>
      <c r="C226" s="156"/>
      <c r="D226" s="99" t="s">
        <v>84</v>
      </c>
      <c r="E226" s="156"/>
      <c r="F226" s="100" t="s">
        <v>272</v>
      </c>
      <c r="G226" s="156"/>
      <c r="H226" s="156"/>
      <c r="I226" s="101"/>
      <c r="J226" s="156"/>
      <c r="K226" s="156"/>
      <c r="L226" s="16"/>
      <c r="M226" s="102"/>
      <c r="N226" s="103"/>
      <c r="O226" s="27"/>
      <c r="P226" s="27"/>
      <c r="Q226" s="27"/>
      <c r="R226" s="27"/>
      <c r="S226" s="27"/>
      <c r="T226" s="28"/>
      <c r="U226" s="156"/>
      <c r="V226" s="156"/>
      <c r="W226" s="156"/>
      <c r="X226" s="156"/>
      <c r="Y226" s="156"/>
      <c r="Z226" s="156"/>
      <c r="AA226" s="156"/>
      <c r="AB226" s="156"/>
      <c r="AC226" s="156"/>
      <c r="AD226" s="156"/>
      <c r="AE226" s="156"/>
      <c r="AT226" s="10" t="s">
        <v>84</v>
      </c>
      <c r="AU226" s="10" t="s">
        <v>47</v>
      </c>
    </row>
    <row r="227" spans="1:65" s="5" customFormat="1" ht="22.9" customHeight="1" x14ac:dyDescent="0.2">
      <c r="B227" s="72"/>
      <c r="D227" s="73" t="s">
        <v>44</v>
      </c>
      <c r="E227" s="83" t="s">
        <v>83</v>
      </c>
      <c r="F227" s="83" t="s">
        <v>274</v>
      </c>
      <c r="I227" s="75"/>
      <c r="J227" s="84">
        <f>BK227</f>
        <v>799.58999999999992</v>
      </c>
      <c r="L227" s="72"/>
      <c r="M227" s="77"/>
      <c r="N227" s="78"/>
      <c r="O227" s="78"/>
      <c r="P227" s="79">
        <f>SUM(P228:P241)</f>
        <v>0</v>
      </c>
      <c r="Q227" s="78"/>
      <c r="R227" s="79">
        <f>SUM(R228:R241)</f>
        <v>0</v>
      </c>
      <c r="S227" s="78"/>
      <c r="T227" s="80">
        <f>SUM(T228:T241)</f>
        <v>0</v>
      </c>
      <c r="AR227" s="73" t="s">
        <v>46</v>
      </c>
      <c r="AT227" s="81" t="s">
        <v>44</v>
      </c>
      <c r="AU227" s="81" t="s">
        <v>46</v>
      </c>
      <c r="AY227" s="73" t="s">
        <v>75</v>
      </c>
      <c r="BK227" s="82">
        <f>SUM(BK228:BK241)</f>
        <v>799.58999999999992</v>
      </c>
    </row>
    <row r="228" spans="1:65" s="1" customFormat="1" ht="14.45" customHeight="1" x14ac:dyDescent="0.2">
      <c r="A228" s="156"/>
      <c r="B228" s="85"/>
      <c r="C228" s="86" t="s">
        <v>131</v>
      </c>
      <c r="D228" s="86" t="s">
        <v>78</v>
      </c>
      <c r="E228" s="87" t="s">
        <v>166</v>
      </c>
      <c r="F228" s="88" t="s">
        <v>167</v>
      </c>
      <c r="G228" s="89" t="s">
        <v>81</v>
      </c>
      <c r="H228" s="90">
        <v>0.32500000000000001</v>
      </c>
      <c r="I228" s="91">
        <v>1200.17173250368</v>
      </c>
      <c r="J228" s="92">
        <f>ROUND(I228*H228,2)</f>
        <v>390.06</v>
      </c>
      <c r="K228" s="88" t="s">
        <v>82</v>
      </c>
      <c r="L228" s="16"/>
      <c r="M228" s="93" t="s">
        <v>0</v>
      </c>
      <c r="N228" s="94" t="s">
        <v>27</v>
      </c>
      <c r="O228" s="27"/>
      <c r="P228" s="95">
        <f>O228*H228</f>
        <v>0</v>
      </c>
      <c r="Q228" s="95">
        <v>0</v>
      </c>
      <c r="R228" s="95">
        <f>Q228*H228</f>
        <v>0</v>
      </c>
      <c r="S228" s="95">
        <v>0</v>
      </c>
      <c r="T228" s="96">
        <f>S228*H228</f>
        <v>0</v>
      </c>
      <c r="U228" s="156"/>
      <c r="V228" s="156"/>
      <c r="W228" s="156"/>
      <c r="X228" s="156"/>
      <c r="Y228" s="156"/>
      <c r="Z228" s="156"/>
      <c r="AA228" s="156"/>
      <c r="AB228" s="156"/>
      <c r="AC228" s="156"/>
      <c r="AD228" s="156"/>
      <c r="AE228" s="156"/>
      <c r="AR228" s="97" t="s">
        <v>83</v>
      </c>
      <c r="AT228" s="97" t="s">
        <v>78</v>
      </c>
      <c r="AU228" s="97" t="s">
        <v>47</v>
      </c>
      <c r="AY228" s="10" t="s">
        <v>75</v>
      </c>
      <c r="BE228" s="98">
        <f>IF(N228="základní",J228,0)</f>
        <v>390.06</v>
      </c>
      <c r="BF228" s="98">
        <f>IF(N228="snížená",J228,0)</f>
        <v>0</v>
      </c>
      <c r="BG228" s="98">
        <f>IF(N228="zákl. přenesená",J228,0)</f>
        <v>0</v>
      </c>
      <c r="BH228" s="98">
        <f>IF(N228="sníž. přenesená",J228,0)</f>
        <v>0</v>
      </c>
      <c r="BI228" s="98">
        <f>IF(N228="nulová",J228,0)</f>
        <v>0</v>
      </c>
      <c r="BJ228" s="10" t="s">
        <v>46</v>
      </c>
      <c r="BK228" s="98">
        <f>ROUND(I228*H228,2)</f>
        <v>390.06</v>
      </c>
      <c r="BL228" s="10" t="s">
        <v>83</v>
      </c>
      <c r="BM228" s="97" t="s">
        <v>275</v>
      </c>
    </row>
    <row r="229" spans="1:65" s="1" customFormat="1" ht="19.5" x14ac:dyDescent="0.2">
      <c r="A229" s="156"/>
      <c r="B229" s="16"/>
      <c r="C229" s="156"/>
      <c r="D229" s="99" t="s">
        <v>84</v>
      </c>
      <c r="E229" s="156"/>
      <c r="F229" s="100" t="s">
        <v>168</v>
      </c>
      <c r="G229" s="156"/>
      <c r="H229" s="156"/>
      <c r="I229" s="101"/>
      <c r="J229" s="156"/>
      <c r="K229" s="156"/>
      <c r="L229" s="16"/>
      <c r="M229" s="102"/>
      <c r="N229" s="103"/>
      <c r="O229" s="27"/>
      <c r="P229" s="27"/>
      <c r="Q229" s="27"/>
      <c r="R229" s="27"/>
      <c r="S229" s="27"/>
      <c r="T229" s="28"/>
      <c r="U229" s="156"/>
      <c r="V229" s="156"/>
      <c r="W229" s="156"/>
      <c r="X229" s="156"/>
      <c r="Y229" s="156"/>
      <c r="Z229" s="156"/>
      <c r="AA229" s="156"/>
      <c r="AB229" s="156"/>
      <c r="AC229" s="156"/>
      <c r="AD229" s="156"/>
      <c r="AE229" s="156"/>
      <c r="AT229" s="10" t="s">
        <v>84</v>
      </c>
      <c r="AU229" s="10" t="s">
        <v>47</v>
      </c>
    </row>
    <row r="230" spans="1:65" s="1" customFormat="1" ht="29.25" x14ac:dyDescent="0.2">
      <c r="A230" s="156"/>
      <c r="B230" s="16"/>
      <c r="C230" s="156"/>
      <c r="D230" s="99" t="s">
        <v>86</v>
      </c>
      <c r="E230" s="156"/>
      <c r="F230" s="104" t="s">
        <v>414</v>
      </c>
      <c r="G230" s="156"/>
      <c r="H230" s="156"/>
      <c r="I230" s="101"/>
      <c r="J230" s="156"/>
      <c r="K230" s="156"/>
      <c r="L230" s="16"/>
      <c r="M230" s="102"/>
      <c r="N230" s="103"/>
      <c r="O230" s="27"/>
      <c r="P230" s="27"/>
      <c r="Q230" s="27"/>
      <c r="R230" s="27"/>
      <c r="S230" s="27"/>
      <c r="T230" s="28"/>
      <c r="U230" s="156"/>
      <c r="V230" s="156"/>
      <c r="W230" s="156"/>
      <c r="X230" s="156"/>
      <c r="Y230" s="156"/>
      <c r="Z230" s="156"/>
      <c r="AA230" s="156"/>
      <c r="AB230" s="156"/>
      <c r="AC230" s="156"/>
      <c r="AD230" s="156"/>
      <c r="AE230" s="156"/>
      <c r="AT230" s="10" t="s">
        <v>86</v>
      </c>
      <c r="AU230" s="10" t="s">
        <v>47</v>
      </c>
    </row>
    <row r="231" spans="1:65" s="7" customFormat="1" x14ac:dyDescent="0.2">
      <c r="B231" s="112"/>
      <c r="D231" s="99" t="s">
        <v>87</v>
      </c>
      <c r="E231" s="113" t="s">
        <v>0</v>
      </c>
      <c r="F231" s="114" t="s">
        <v>550</v>
      </c>
      <c r="H231" s="115">
        <f>3.25*0.1</f>
        <v>0.32500000000000001</v>
      </c>
      <c r="I231" s="116"/>
      <c r="L231" s="112"/>
      <c r="M231" s="117"/>
      <c r="N231" s="118"/>
      <c r="O231" s="118"/>
      <c r="P231" s="118"/>
      <c r="Q231" s="118"/>
      <c r="R231" s="118"/>
      <c r="S231" s="118"/>
      <c r="T231" s="119"/>
      <c r="AT231" s="113" t="s">
        <v>87</v>
      </c>
      <c r="AU231" s="113" t="s">
        <v>47</v>
      </c>
      <c r="AV231" s="7" t="s">
        <v>47</v>
      </c>
      <c r="AW231" s="7" t="s">
        <v>19</v>
      </c>
      <c r="AX231" s="7" t="s">
        <v>46</v>
      </c>
      <c r="AY231" s="113" t="s">
        <v>75</v>
      </c>
    </row>
    <row r="232" spans="1:65" s="1" customFormat="1" ht="14.45" customHeight="1" x14ac:dyDescent="0.2">
      <c r="A232" s="156"/>
      <c r="B232" s="85"/>
      <c r="C232" s="86" t="s">
        <v>143</v>
      </c>
      <c r="D232" s="86" t="s">
        <v>78</v>
      </c>
      <c r="E232" s="87" t="s">
        <v>276</v>
      </c>
      <c r="F232" s="88" t="s">
        <v>277</v>
      </c>
      <c r="G232" s="89" t="s">
        <v>81</v>
      </c>
      <c r="H232" s="90">
        <v>0.1</v>
      </c>
      <c r="I232" s="91">
        <v>1200.17173250368</v>
      </c>
      <c r="J232" s="92">
        <f>ROUND(I232*H232,2)</f>
        <v>120.02</v>
      </c>
      <c r="K232" s="88" t="s">
        <v>0</v>
      </c>
      <c r="L232" s="16"/>
      <c r="M232" s="93" t="s">
        <v>0</v>
      </c>
      <c r="N232" s="94" t="s">
        <v>27</v>
      </c>
      <c r="O232" s="27"/>
      <c r="P232" s="95">
        <f>O232*H232</f>
        <v>0</v>
      </c>
      <c r="Q232" s="95">
        <v>0</v>
      </c>
      <c r="R232" s="95">
        <f>Q232*H232</f>
        <v>0</v>
      </c>
      <c r="S232" s="95">
        <v>0</v>
      </c>
      <c r="T232" s="96">
        <f>S232*H232</f>
        <v>0</v>
      </c>
      <c r="U232" s="156"/>
      <c r="V232" s="156"/>
      <c r="W232" s="156"/>
      <c r="X232" s="156"/>
      <c r="Y232" s="156"/>
      <c r="Z232" s="156"/>
      <c r="AA232" s="156"/>
      <c r="AB232" s="156"/>
      <c r="AC232" s="156"/>
      <c r="AD232" s="156"/>
      <c r="AE232" s="156"/>
      <c r="AR232" s="97" t="s">
        <v>83</v>
      </c>
      <c r="AT232" s="97" t="s">
        <v>78</v>
      </c>
      <c r="AU232" s="97" t="s">
        <v>47</v>
      </c>
      <c r="AY232" s="10" t="s">
        <v>75</v>
      </c>
      <c r="BE232" s="98">
        <f>IF(N232="základní",J232,0)</f>
        <v>120.02</v>
      </c>
      <c r="BF232" s="98">
        <f>IF(N232="snížená",J232,0)</f>
        <v>0</v>
      </c>
      <c r="BG232" s="98">
        <f>IF(N232="zákl. přenesená",J232,0)</f>
        <v>0</v>
      </c>
      <c r="BH232" s="98">
        <f>IF(N232="sníž. přenesená",J232,0)</f>
        <v>0</v>
      </c>
      <c r="BI232" s="98">
        <f>IF(N232="nulová",J232,0)</f>
        <v>0</v>
      </c>
      <c r="BJ232" s="10" t="s">
        <v>46</v>
      </c>
      <c r="BK232" s="98">
        <f>ROUND(I232*H232,2)</f>
        <v>120.02</v>
      </c>
      <c r="BL232" s="10" t="s">
        <v>83</v>
      </c>
      <c r="BM232" s="97" t="s">
        <v>278</v>
      </c>
    </row>
    <row r="233" spans="1:65" s="1" customFormat="1" ht="19.5" x14ac:dyDescent="0.2">
      <c r="A233" s="156"/>
      <c r="B233" s="16"/>
      <c r="C233" s="156"/>
      <c r="D233" s="99" t="s">
        <v>84</v>
      </c>
      <c r="E233" s="156"/>
      <c r="F233" s="100" t="s">
        <v>168</v>
      </c>
      <c r="G233" s="156"/>
      <c r="H233" s="156"/>
      <c r="I233" s="101"/>
      <c r="J233" s="156"/>
      <c r="K233" s="156"/>
      <c r="L233" s="16"/>
      <c r="M233" s="102"/>
      <c r="N233" s="103"/>
      <c r="O233" s="27"/>
      <c r="P233" s="27"/>
      <c r="Q233" s="27"/>
      <c r="R233" s="27"/>
      <c r="S233" s="27"/>
      <c r="T233" s="28"/>
      <c r="U233" s="156"/>
      <c r="V233" s="156"/>
      <c r="W233" s="156"/>
      <c r="X233" s="156"/>
      <c r="Y233" s="156"/>
      <c r="Z233" s="156"/>
      <c r="AA233" s="156"/>
      <c r="AB233" s="156"/>
      <c r="AC233" s="156"/>
      <c r="AD233" s="156"/>
      <c r="AE233" s="156"/>
      <c r="AT233" s="10" t="s">
        <v>84</v>
      </c>
      <c r="AU233" s="10" t="s">
        <v>47</v>
      </c>
    </row>
    <row r="234" spans="1:65" s="1" customFormat="1" ht="29.25" x14ac:dyDescent="0.2">
      <c r="A234" s="156"/>
      <c r="B234" s="16"/>
      <c r="C234" s="156"/>
      <c r="D234" s="99" t="s">
        <v>86</v>
      </c>
      <c r="E234" s="156"/>
      <c r="F234" s="104" t="s">
        <v>414</v>
      </c>
      <c r="G234" s="156"/>
      <c r="H234" s="156"/>
      <c r="I234" s="101"/>
      <c r="J234" s="156"/>
      <c r="K234" s="156"/>
      <c r="L234" s="16"/>
      <c r="M234" s="102"/>
      <c r="N234" s="103"/>
      <c r="O234" s="27"/>
      <c r="P234" s="27"/>
      <c r="Q234" s="27"/>
      <c r="R234" s="27"/>
      <c r="S234" s="27"/>
      <c r="T234" s="28"/>
      <c r="U234" s="156"/>
      <c r="V234" s="156"/>
      <c r="W234" s="156"/>
      <c r="X234" s="156"/>
      <c r="Y234" s="156"/>
      <c r="Z234" s="156"/>
      <c r="AA234" s="156"/>
      <c r="AB234" s="156"/>
      <c r="AC234" s="156"/>
      <c r="AD234" s="156"/>
      <c r="AE234" s="156"/>
      <c r="AT234" s="10" t="s">
        <v>86</v>
      </c>
      <c r="AU234" s="10" t="s">
        <v>47</v>
      </c>
    </row>
    <row r="235" spans="1:65" s="6" customFormat="1" x14ac:dyDescent="0.2">
      <c r="B235" s="105"/>
      <c r="D235" s="99" t="s">
        <v>87</v>
      </c>
      <c r="E235" s="106" t="s">
        <v>0</v>
      </c>
      <c r="F235" s="107" t="s">
        <v>279</v>
      </c>
      <c r="H235" s="106" t="s">
        <v>0</v>
      </c>
      <c r="I235" s="108"/>
      <c r="L235" s="105"/>
      <c r="M235" s="109"/>
      <c r="N235" s="110"/>
      <c r="O235" s="110"/>
      <c r="P235" s="110"/>
      <c r="Q235" s="110"/>
      <c r="R235" s="110"/>
      <c r="S235" s="110"/>
      <c r="T235" s="111"/>
      <c r="AT235" s="106" t="s">
        <v>87</v>
      </c>
      <c r="AU235" s="106" t="s">
        <v>47</v>
      </c>
      <c r="AV235" s="6" t="s">
        <v>46</v>
      </c>
      <c r="AW235" s="6" t="s">
        <v>19</v>
      </c>
      <c r="AX235" s="6" t="s">
        <v>45</v>
      </c>
      <c r="AY235" s="106" t="s">
        <v>75</v>
      </c>
    </row>
    <row r="236" spans="1:65" s="7" customFormat="1" x14ac:dyDescent="0.2">
      <c r="B236" s="112"/>
      <c r="D236" s="99" t="s">
        <v>87</v>
      </c>
      <c r="E236" s="113" t="s">
        <v>0</v>
      </c>
      <c r="F236" s="114" t="s">
        <v>280</v>
      </c>
      <c r="H236" s="115">
        <v>0.1</v>
      </c>
      <c r="I236" s="116"/>
      <c r="L236" s="112"/>
      <c r="M236" s="117"/>
      <c r="N236" s="118"/>
      <c r="O236" s="118"/>
      <c r="P236" s="118"/>
      <c r="Q236" s="118"/>
      <c r="R236" s="118"/>
      <c r="S236" s="118"/>
      <c r="T236" s="119"/>
      <c r="AT236" s="113" t="s">
        <v>87</v>
      </c>
      <c r="AU236" s="113" t="s">
        <v>47</v>
      </c>
      <c r="AV236" s="7" t="s">
        <v>47</v>
      </c>
      <c r="AW236" s="7" t="s">
        <v>19</v>
      </c>
      <c r="AX236" s="7" t="s">
        <v>45</v>
      </c>
      <c r="AY236" s="113" t="s">
        <v>75</v>
      </c>
    </row>
    <row r="237" spans="1:65" s="1" customFormat="1" ht="24.2" customHeight="1" x14ac:dyDescent="0.2">
      <c r="A237" s="156"/>
      <c r="B237" s="85"/>
      <c r="C237" s="86" t="s">
        <v>138</v>
      </c>
      <c r="D237" s="86" t="s">
        <v>78</v>
      </c>
      <c r="E237" s="87" t="s">
        <v>283</v>
      </c>
      <c r="F237" s="88" t="s">
        <v>284</v>
      </c>
      <c r="G237" s="89" t="s">
        <v>81</v>
      </c>
      <c r="H237" s="90">
        <v>0.1</v>
      </c>
      <c r="I237" s="91">
        <v>2895.0660868876225</v>
      </c>
      <c r="J237" s="92">
        <f>ROUND(I237*H237,2)</f>
        <v>289.51</v>
      </c>
      <c r="K237" s="88" t="s">
        <v>82</v>
      </c>
      <c r="L237" s="16"/>
      <c r="M237" s="93" t="s">
        <v>0</v>
      </c>
      <c r="N237" s="94" t="s">
        <v>27</v>
      </c>
      <c r="O237" s="27"/>
      <c r="P237" s="95">
        <f>O237*H237</f>
        <v>0</v>
      </c>
      <c r="Q237" s="95">
        <v>0</v>
      </c>
      <c r="R237" s="95">
        <f>Q237*H237</f>
        <v>0</v>
      </c>
      <c r="S237" s="95">
        <v>0</v>
      </c>
      <c r="T237" s="96">
        <f>S237*H237</f>
        <v>0</v>
      </c>
      <c r="U237" s="156"/>
      <c r="V237" s="156"/>
      <c r="W237" s="156"/>
      <c r="X237" s="156"/>
      <c r="Y237" s="156"/>
      <c r="Z237" s="156"/>
      <c r="AA237" s="156"/>
      <c r="AB237" s="156"/>
      <c r="AC237" s="156"/>
      <c r="AD237" s="156"/>
      <c r="AE237" s="156"/>
      <c r="AR237" s="97" t="s">
        <v>83</v>
      </c>
      <c r="AT237" s="97" t="s">
        <v>78</v>
      </c>
      <c r="AU237" s="97" t="s">
        <v>47</v>
      </c>
      <c r="AY237" s="10" t="s">
        <v>75</v>
      </c>
      <c r="BE237" s="98">
        <f>IF(N237="základní",J237,0)</f>
        <v>289.51</v>
      </c>
      <c r="BF237" s="98">
        <f>IF(N237="snížená",J237,0)</f>
        <v>0</v>
      </c>
      <c r="BG237" s="98">
        <f>IF(N237="zákl. přenesená",J237,0)</f>
        <v>0</v>
      </c>
      <c r="BH237" s="98">
        <f>IF(N237="sníž. přenesená",J237,0)</f>
        <v>0</v>
      </c>
      <c r="BI237" s="98">
        <f>IF(N237="nulová",J237,0)</f>
        <v>0</v>
      </c>
      <c r="BJ237" s="10" t="s">
        <v>46</v>
      </c>
      <c r="BK237" s="98">
        <f>ROUND(I237*H237,2)</f>
        <v>289.51</v>
      </c>
      <c r="BL237" s="10" t="s">
        <v>83</v>
      </c>
      <c r="BM237" s="97" t="s">
        <v>285</v>
      </c>
    </row>
    <row r="238" spans="1:65" s="1" customFormat="1" ht="29.25" x14ac:dyDescent="0.2">
      <c r="A238" s="156"/>
      <c r="B238" s="16"/>
      <c r="C238" s="156"/>
      <c r="D238" s="99" t="s">
        <v>84</v>
      </c>
      <c r="E238" s="156"/>
      <c r="F238" s="100" t="s">
        <v>286</v>
      </c>
      <c r="G238" s="156"/>
      <c r="H238" s="156"/>
      <c r="I238" s="101"/>
      <c r="J238" s="156"/>
      <c r="K238" s="156"/>
      <c r="L238" s="16"/>
      <c r="M238" s="102"/>
      <c r="N238" s="103"/>
      <c r="O238" s="27"/>
      <c r="P238" s="27"/>
      <c r="Q238" s="27"/>
      <c r="R238" s="27"/>
      <c r="S238" s="27"/>
      <c r="T238" s="28"/>
      <c r="U238" s="156"/>
      <c r="V238" s="156"/>
      <c r="W238" s="156"/>
      <c r="X238" s="156"/>
      <c r="Y238" s="156"/>
      <c r="Z238" s="156"/>
      <c r="AA238" s="156"/>
      <c r="AB238" s="156"/>
      <c r="AC238" s="156"/>
      <c r="AD238" s="156"/>
      <c r="AE238" s="156"/>
      <c r="AT238" s="10" t="s">
        <v>84</v>
      </c>
      <c r="AU238" s="10" t="s">
        <v>47</v>
      </c>
    </row>
    <row r="239" spans="1:65" s="1" customFormat="1" ht="29.25" x14ac:dyDescent="0.2">
      <c r="A239" s="156"/>
      <c r="B239" s="16"/>
      <c r="C239" s="156"/>
      <c r="D239" s="99" t="s">
        <v>86</v>
      </c>
      <c r="E239" s="156"/>
      <c r="F239" s="104" t="s">
        <v>414</v>
      </c>
      <c r="G239" s="156"/>
      <c r="H239" s="156"/>
      <c r="I239" s="101"/>
      <c r="J239" s="156"/>
      <c r="K239" s="156"/>
      <c r="L239" s="16"/>
      <c r="M239" s="102"/>
      <c r="N239" s="103"/>
      <c r="O239" s="27"/>
      <c r="P239" s="27"/>
      <c r="Q239" s="27"/>
      <c r="R239" s="27"/>
      <c r="S239" s="27"/>
      <c r="T239" s="28"/>
      <c r="U239" s="156"/>
      <c r="V239" s="156"/>
      <c r="W239" s="156"/>
      <c r="X239" s="156"/>
      <c r="Y239" s="156"/>
      <c r="Z239" s="156"/>
      <c r="AA239" s="156"/>
      <c r="AB239" s="156"/>
      <c r="AC239" s="156"/>
      <c r="AD239" s="156"/>
      <c r="AE239" s="156"/>
      <c r="AT239" s="10" t="s">
        <v>86</v>
      </c>
      <c r="AU239" s="10" t="s">
        <v>47</v>
      </c>
    </row>
    <row r="240" spans="1:65" s="6" customFormat="1" x14ac:dyDescent="0.2">
      <c r="B240" s="105"/>
      <c r="D240" s="99" t="s">
        <v>87</v>
      </c>
      <c r="E240" s="106" t="s">
        <v>0</v>
      </c>
      <c r="F240" s="107" t="s">
        <v>279</v>
      </c>
      <c r="H240" s="106" t="s">
        <v>0</v>
      </c>
      <c r="I240" s="108"/>
      <c r="L240" s="105"/>
      <c r="M240" s="109"/>
      <c r="N240" s="110"/>
      <c r="O240" s="110"/>
      <c r="P240" s="110"/>
      <c r="Q240" s="110"/>
      <c r="R240" s="110"/>
      <c r="S240" s="110"/>
      <c r="T240" s="111"/>
      <c r="AT240" s="106" t="s">
        <v>87</v>
      </c>
      <c r="AU240" s="106" t="s">
        <v>47</v>
      </c>
      <c r="AV240" s="6" t="s">
        <v>46</v>
      </c>
      <c r="AW240" s="6" t="s">
        <v>19</v>
      </c>
      <c r="AX240" s="6" t="s">
        <v>45</v>
      </c>
      <c r="AY240" s="106" t="s">
        <v>75</v>
      </c>
    </row>
    <row r="241" spans="1:65" s="7" customFormat="1" ht="10.5" customHeight="1" x14ac:dyDescent="0.2">
      <c r="B241" s="112"/>
      <c r="D241" s="99" t="s">
        <v>87</v>
      </c>
      <c r="E241" s="113" t="s">
        <v>0</v>
      </c>
      <c r="F241" s="114" t="s">
        <v>280</v>
      </c>
      <c r="H241" s="115">
        <v>0.1</v>
      </c>
      <c r="I241" s="116"/>
      <c r="L241" s="112"/>
      <c r="M241" s="117"/>
      <c r="N241" s="118"/>
      <c r="O241" s="118"/>
      <c r="P241" s="118"/>
      <c r="Q241" s="118"/>
      <c r="R241" s="118"/>
      <c r="S241" s="118"/>
      <c r="T241" s="119"/>
      <c r="AT241" s="113" t="s">
        <v>87</v>
      </c>
      <c r="AU241" s="113" t="s">
        <v>47</v>
      </c>
      <c r="AV241" s="7" t="s">
        <v>47</v>
      </c>
      <c r="AW241" s="7" t="s">
        <v>19</v>
      </c>
      <c r="AX241" s="7" t="s">
        <v>45</v>
      </c>
      <c r="AY241" s="113" t="s">
        <v>75</v>
      </c>
    </row>
    <row r="242" spans="1:65" s="5" customFormat="1" ht="22.9" customHeight="1" x14ac:dyDescent="0.2">
      <c r="B242" s="72"/>
      <c r="D242" s="73" t="s">
        <v>44</v>
      </c>
      <c r="E242" s="83" t="s">
        <v>223</v>
      </c>
      <c r="F242" s="83" t="s">
        <v>288</v>
      </c>
      <c r="I242" s="75"/>
      <c r="J242" s="84">
        <f>BK242</f>
        <v>2149.06</v>
      </c>
      <c r="L242" s="72"/>
      <c r="M242" s="77"/>
      <c r="N242" s="78"/>
      <c r="O242" s="78"/>
      <c r="P242" s="79">
        <f>SUM(P243:P251)</f>
        <v>0</v>
      </c>
      <c r="Q242" s="78"/>
      <c r="R242" s="79">
        <f>SUM(R243:R251)</f>
        <v>0</v>
      </c>
      <c r="S242" s="78"/>
      <c r="T242" s="80">
        <f>SUM(T243:T251)</f>
        <v>0</v>
      </c>
      <c r="AR242" s="73" t="s">
        <v>46</v>
      </c>
      <c r="AT242" s="81" t="s">
        <v>44</v>
      </c>
      <c r="AU242" s="81" t="s">
        <v>46</v>
      </c>
      <c r="AY242" s="73" t="s">
        <v>75</v>
      </c>
      <c r="BK242" s="82">
        <f>SUM(BK243:BK251)</f>
        <v>2149.06</v>
      </c>
    </row>
    <row r="243" spans="1:65" s="1" customFormat="1" ht="24.2" customHeight="1" x14ac:dyDescent="0.2">
      <c r="A243" s="156"/>
      <c r="B243" s="85"/>
      <c r="C243" s="86" t="s">
        <v>289</v>
      </c>
      <c r="D243" s="86" t="s">
        <v>78</v>
      </c>
      <c r="E243" s="87" t="s">
        <v>170</v>
      </c>
      <c r="F243" s="88" t="s">
        <v>171</v>
      </c>
      <c r="G243" s="89" t="s">
        <v>100</v>
      </c>
      <c r="H243" s="90">
        <v>2.9249999999999998</v>
      </c>
      <c r="I243" s="91">
        <v>130.95617506780872</v>
      </c>
      <c r="J243" s="92">
        <f>ROUND(I243*H243,2)</f>
        <v>383.05</v>
      </c>
      <c r="K243" s="88" t="s">
        <v>82</v>
      </c>
      <c r="L243" s="16"/>
      <c r="M243" s="93" t="s">
        <v>0</v>
      </c>
      <c r="N243" s="94" t="s">
        <v>27</v>
      </c>
      <c r="O243" s="27"/>
      <c r="P243" s="95">
        <f>O243*H243</f>
        <v>0</v>
      </c>
      <c r="Q243" s="95">
        <v>0</v>
      </c>
      <c r="R243" s="95">
        <f>Q243*H243</f>
        <v>0</v>
      </c>
      <c r="S243" s="95">
        <v>0</v>
      </c>
      <c r="T243" s="96">
        <f>S243*H243</f>
        <v>0</v>
      </c>
      <c r="U243" s="156"/>
      <c r="V243" s="156"/>
      <c r="W243" s="156"/>
      <c r="X243" s="156"/>
      <c r="Y243" s="156"/>
      <c r="Z243" s="156"/>
      <c r="AA243" s="156"/>
      <c r="AB243" s="156"/>
      <c r="AC243" s="156"/>
      <c r="AD243" s="156"/>
      <c r="AE243" s="156"/>
      <c r="AR243" s="97" t="s">
        <v>83</v>
      </c>
      <c r="AT243" s="97" t="s">
        <v>78</v>
      </c>
      <c r="AU243" s="97" t="s">
        <v>47</v>
      </c>
      <c r="AY243" s="10" t="s">
        <v>75</v>
      </c>
      <c r="BE243" s="98">
        <f>IF(N243="základní",J243,0)</f>
        <v>383.05</v>
      </c>
      <c r="BF243" s="98">
        <f>IF(N243="snížená",J243,0)</f>
        <v>0</v>
      </c>
      <c r="BG243" s="98">
        <f>IF(N243="zákl. přenesená",J243,0)</f>
        <v>0</v>
      </c>
      <c r="BH243" s="98">
        <f>IF(N243="sníž. přenesená",J243,0)</f>
        <v>0</v>
      </c>
      <c r="BI243" s="98">
        <f>IF(N243="nulová",J243,0)</f>
        <v>0</v>
      </c>
      <c r="BJ243" s="10" t="s">
        <v>46</v>
      </c>
      <c r="BK243" s="98">
        <f>ROUND(I243*H243,2)</f>
        <v>383.05</v>
      </c>
      <c r="BL243" s="10" t="s">
        <v>83</v>
      </c>
      <c r="BM243" s="97" t="s">
        <v>290</v>
      </c>
    </row>
    <row r="244" spans="1:65" s="1" customFormat="1" ht="19.5" x14ac:dyDescent="0.2">
      <c r="A244" s="156"/>
      <c r="B244" s="16"/>
      <c r="C244" s="156"/>
      <c r="D244" s="99" t="s">
        <v>84</v>
      </c>
      <c r="E244" s="156"/>
      <c r="F244" s="100" t="s">
        <v>172</v>
      </c>
      <c r="G244" s="156"/>
      <c r="H244" s="156"/>
      <c r="I244" s="101"/>
      <c r="J244" s="156"/>
      <c r="K244" s="156"/>
      <c r="L244" s="16"/>
      <c r="M244" s="102"/>
      <c r="N244" s="103"/>
      <c r="O244" s="27"/>
      <c r="P244" s="27"/>
      <c r="Q244" s="27"/>
      <c r="R244" s="27"/>
      <c r="S244" s="27"/>
      <c r="T244" s="28"/>
      <c r="U244" s="156"/>
      <c r="V244" s="156"/>
      <c r="W244" s="156"/>
      <c r="X244" s="156"/>
      <c r="Y244" s="156"/>
      <c r="Z244" s="156"/>
      <c r="AA244" s="156"/>
      <c r="AB244" s="156"/>
      <c r="AC244" s="156"/>
      <c r="AD244" s="156"/>
      <c r="AE244" s="156"/>
      <c r="AT244" s="10" t="s">
        <v>84</v>
      </c>
      <c r="AU244" s="10" t="s">
        <v>47</v>
      </c>
    </row>
    <row r="245" spans="1:65" s="1" customFormat="1" ht="14.45" customHeight="1" x14ac:dyDescent="0.2">
      <c r="A245" s="156"/>
      <c r="B245" s="85"/>
      <c r="C245" s="86" t="s">
        <v>165</v>
      </c>
      <c r="D245" s="86" t="s">
        <v>78</v>
      </c>
      <c r="E245" s="87" t="s">
        <v>174</v>
      </c>
      <c r="F245" s="88" t="s">
        <v>175</v>
      </c>
      <c r="G245" s="89" t="s">
        <v>100</v>
      </c>
      <c r="H245" s="90">
        <v>2.9249999999999998</v>
      </c>
      <c r="I245" s="91">
        <v>200.20823792465458</v>
      </c>
      <c r="J245" s="92">
        <f>ROUND(I245*H245,2)</f>
        <v>585.61</v>
      </c>
      <c r="K245" s="88" t="s">
        <v>82</v>
      </c>
      <c r="L245" s="16"/>
      <c r="M245" s="93" t="s">
        <v>0</v>
      </c>
      <c r="N245" s="94" t="s">
        <v>27</v>
      </c>
      <c r="O245" s="27"/>
      <c r="P245" s="95">
        <f>O245*H245</f>
        <v>0</v>
      </c>
      <c r="Q245" s="95">
        <v>0</v>
      </c>
      <c r="R245" s="95">
        <f>Q245*H245</f>
        <v>0</v>
      </c>
      <c r="S245" s="95">
        <v>0</v>
      </c>
      <c r="T245" s="96">
        <f>S245*H245</f>
        <v>0</v>
      </c>
      <c r="U245" s="156"/>
      <c r="V245" s="156"/>
      <c r="W245" s="156"/>
      <c r="X245" s="156"/>
      <c r="Y245" s="156"/>
      <c r="Z245" s="156"/>
      <c r="AA245" s="156"/>
      <c r="AB245" s="156"/>
      <c r="AC245" s="156"/>
      <c r="AD245" s="156"/>
      <c r="AE245" s="156"/>
      <c r="AR245" s="97" t="s">
        <v>83</v>
      </c>
      <c r="AT245" s="97" t="s">
        <v>78</v>
      </c>
      <c r="AU245" s="97" t="s">
        <v>47</v>
      </c>
      <c r="AY245" s="10" t="s">
        <v>75</v>
      </c>
      <c r="BE245" s="98">
        <f>IF(N245="základní",J245,0)</f>
        <v>585.61</v>
      </c>
      <c r="BF245" s="98">
        <f>IF(N245="snížená",J245,0)</f>
        <v>0</v>
      </c>
      <c r="BG245" s="98">
        <f>IF(N245="zákl. přenesená",J245,0)</f>
        <v>0</v>
      </c>
      <c r="BH245" s="98">
        <f>IF(N245="sníž. přenesená",J245,0)</f>
        <v>0</v>
      </c>
      <c r="BI245" s="98">
        <f>IF(N245="nulová",J245,0)</f>
        <v>0</v>
      </c>
      <c r="BJ245" s="10" t="s">
        <v>46</v>
      </c>
      <c r="BK245" s="98">
        <f>ROUND(I245*H245,2)</f>
        <v>585.61</v>
      </c>
      <c r="BL245" s="10" t="s">
        <v>83</v>
      </c>
      <c r="BM245" s="97" t="s">
        <v>291</v>
      </c>
    </row>
    <row r="246" spans="1:65" s="1" customFormat="1" ht="19.5" x14ac:dyDescent="0.2">
      <c r="A246" s="156"/>
      <c r="B246" s="16"/>
      <c r="C246" s="156"/>
      <c r="D246" s="99" t="s">
        <v>84</v>
      </c>
      <c r="E246" s="156"/>
      <c r="F246" s="100" t="s">
        <v>176</v>
      </c>
      <c r="G246" s="156"/>
      <c r="H246" s="156"/>
      <c r="I246" s="101"/>
      <c r="J246" s="156"/>
      <c r="K246" s="156"/>
      <c r="L246" s="16"/>
      <c r="M246" s="102"/>
      <c r="N246" s="103"/>
      <c r="O246" s="27"/>
      <c r="P246" s="27"/>
      <c r="Q246" s="27"/>
      <c r="R246" s="27"/>
      <c r="S246" s="27"/>
      <c r="T246" s="28"/>
      <c r="U246" s="156"/>
      <c r="V246" s="156"/>
      <c r="W246" s="156"/>
      <c r="X246" s="156"/>
      <c r="Y246" s="156"/>
      <c r="Z246" s="156"/>
      <c r="AA246" s="156"/>
      <c r="AB246" s="156"/>
      <c r="AC246" s="156"/>
      <c r="AD246" s="156"/>
      <c r="AE246" s="156"/>
      <c r="AT246" s="10" t="s">
        <v>84</v>
      </c>
      <c r="AU246" s="10" t="s">
        <v>47</v>
      </c>
    </row>
    <row r="247" spans="1:65" s="1" customFormat="1" ht="24.2" customHeight="1" x14ac:dyDescent="0.2">
      <c r="A247" s="156"/>
      <c r="B247" s="85"/>
      <c r="C247" s="86" t="s">
        <v>292</v>
      </c>
      <c r="D247" s="86" t="s">
        <v>78</v>
      </c>
      <c r="E247" s="87" t="s">
        <v>293</v>
      </c>
      <c r="F247" s="88" t="s">
        <v>294</v>
      </c>
      <c r="G247" s="89" t="s">
        <v>100</v>
      </c>
      <c r="H247" s="90">
        <v>2.9249999999999998</v>
      </c>
      <c r="I247" s="91">
        <v>40.878739778868102</v>
      </c>
      <c r="J247" s="92">
        <f>ROUND(I247*H247,2)</f>
        <v>119.57</v>
      </c>
      <c r="K247" s="88" t="s">
        <v>82</v>
      </c>
      <c r="L247" s="16"/>
      <c r="M247" s="93" t="s">
        <v>0</v>
      </c>
      <c r="N247" s="94" t="s">
        <v>27</v>
      </c>
      <c r="O247" s="27"/>
      <c r="P247" s="95">
        <f>O247*H247</f>
        <v>0</v>
      </c>
      <c r="Q247" s="95">
        <v>0</v>
      </c>
      <c r="R247" s="95">
        <f>Q247*H247</f>
        <v>0</v>
      </c>
      <c r="S247" s="95">
        <v>0</v>
      </c>
      <c r="T247" s="96">
        <f>S247*H247</f>
        <v>0</v>
      </c>
      <c r="U247" s="156"/>
      <c r="V247" s="156"/>
      <c r="W247" s="156"/>
      <c r="X247" s="156"/>
      <c r="Y247" s="156"/>
      <c r="Z247" s="156"/>
      <c r="AA247" s="156"/>
      <c r="AB247" s="156"/>
      <c r="AC247" s="156"/>
      <c r="AD247" s="156"/>
      <c r="AE247" s="156"/>
      <c r="AR247" s="97" t="s">
        <v>83</v>
      </c>
      <c r="AT247" s="97" t="s">
        <v>78</v>
      </c>
      <c r="AU247" s="97" t="s">
        <v>47</v>
      </c>
      <c r="AY247" s="10" t="s">
        <v>75</v>
      </c>
      <c r="BE247" s="98">
        <f>IF(N247="základní",J247,0)</f>
        <v>119.57</v>
      </c>
      <c r="BF247" s="98">
        <f>IF(N247="snížená",J247,0)</f>
        <v>0</v>
      </c>
      <c r="BG247" s="98">
        <f>IF(N247="zákl. přenesená",J247,0)</f>
        <v>0</v>
      </c>
      <c r="BH247" s="98">
        <f>IF(N247="sníž. přenesená",J247,0)</f>
        <v>0</v>
      </c>
      <c r="BI247" s="98">
        <f>IF(N247="nulová",J247,0)</f>
        <v>0</v>
      </c>
      <c r="BJ247" s="10" t="s">
        <v>46</v>
      </c>
      <c r="BK247" s="98">
        <f>ROUND(I247*H247,2)</f>
        <v>119.57</v>
      </c>
      <c r="BL247" s="10" t="s">
        <v>83</v>
      </c>
      <c r="BM247" s="97" t="s">
        <v>295</v>
      </c>
    </row>
    <row r="248" spans="1:65" s="1" customFormat="1" ht="19.5" x14ac:dyDescent="0.2">
      <c r="A248" s="156"/>
      <c r="B248" s="16"/>
      <c r="C248" s="156"/>
      <c r="D248" s="99" t="s">
        <v>84</v>
      </c>
      <c r="E248" s="156"/>
      <c r="F248" s="100" t="s">
        <v>296</v>
      </c>
      <c r="G248" s="156"/>
      <c r="H248" s="156"/>
      <c r="I248" s="101"/>
      <c r="J248" s="156"/>
      <c r="K248" s="156"/>
      <c r="L248" s="16"/>
      <c r="M248" s="102"/>
      <c r="N248" s="103"/>
      <c r="O248" s="27"/>
      <c r="P248" s="27"/>
      <c r="Q248" s="27"/>
      <c r="R248" s="27"/>
      <c r="S248" s="27"/>
      <c r="T248" s="28"/>
      <c r="U248" s="156"/>
      <c r="V248" s="156"/>
      <c r="W248" s="156"/>
      <c r="X248" s="156"/>
      <c r="Y248" s="156"/>
      <c r="Z248" s="156"/>
      <c r="AA248" s="156"/>
      <c r="AB248" s="156"/>
      <c r="AC248" s="156"/>
      <c r="AD248" s="156"/>
      <c r="AE248" s="156"/>
      <c r="AT248" s="10" t="s">
        <v>84</v>
      </c>
      <c r="AU248" s="10" t="s">
        <v>47</v>
      </c>
    </row>
    <row r="249" spans="1:65" s="1" customFormat="1" ht="24.2" customHeight="1" x14ac:dyDescent="0.2">
      <c r="A249" s="156"/>
      <c r="B249" s="85"/>
      <c r="C249" s="86" t="s">
        <v>297</v>
      </c>
      <c r="D249" s="86" t="s">
        <v>78</v>
      </c>
      <c r="E249" s="87" t="s">
        <v>178</v>
      </c>
      <c r="F249" s="88" t="s">
        <v>179</v>
      </c>
      <c r="G249" s="89" t="s">
        <v>100</v>
      </c>
      <c r="H249" s="90">
        <v>2.9249999999999998</v>
      </c>
      <c r="I249" s="91">
        <v>362.67856108310502</v>
      </c>
      <c r="J249" s="92">
        <f>ROUND(I249*H249,2)</f>
        <v>1060.83</v>
      </c>
      <c r="K249" s="88" t="s">
        <v>82</v>
      </c>
      <c r="L249" s="16"/>
      <c r="M249" s="93" t="s">
        <v>0</v>
      </c>
      <c r="N249" s="94" t="s">
        <v>27</v>
      </c>
      <c r="O249" s="27"/>
      <c r="P249" s="95">
        <f>O249*H249</f>
        <v>0</v>
      </c>
      <c r="Q249" s="95">
        <v>0</v>
      </c>
      <c r="R249" s="95">
        <f>Q249*H249</f>
        <v>0</v>
      </c>
      <c r="S249" s="95">
        <v>0</v>
      </c>
      <c r="T249" s="96">
        <f>S249*H249</f>
        <v>0</v>
      </c>
      <c r="U249" s="156"/>
      <c r="V249" s="156"/>
      <c r="W249" s="156"/>
      <c r="X249" s="156"/>
      <c r="Y249" s="156"/>
      <c r="Z249" s="156"/>
      <c r="AA249" s="156"/>
      <c r="AB249" s="156"/>
      <c r="AC249" s="156"/>
      <c r="AD249" s="156"/>
      <c r="AE249" s="156"/>
      <c r="AR249" s="97" t="s">
        <v>83</v>
      </c>
      <c r="AT249" s="97" t="s">
        <v>78</v>
      </c>
      <c r="AU249" s="97" t="s">
        <v>47</v>
      </c>
      <c r="AY249" s="10" t="s">
        <v>75</v>
      </c>
      <c r="BE249" s="98">
        <f>IF(N249="základní",J249,0)</f>
        <v>1060.83</v>
      </c>
      <c r="BF249" s="98">
        <f>IF(N249="snížená",J249,0)</f>
        <v>0</v>
      </c>
      <c r="BG249" s="98">
        <f>IF(N249="zákl. přenesená",J249,0)</f>
        <v>0</v>
      </c>
      <c r="BH249" s="98">
        <f>IF(N249="sníž. přenesená",J249,0)</f>
        <v>0</v>
      </c>
      <c r="BI249" s="98">
        <f>IF(N249="nulová",J249,0)</f>
        <v>0</v>
      </c>
      <c r="BJ249" s="10" t="s">
        <v>46</v>
      </c>
      <c r="BK249" s="98">
        <f>ROUND(I249*H249,2)</f>
        <v>1060.83</v>
      </c>
      <c r="BL249" s="10" t="s">
        <v>83</v>
      </c>
      <c r="BM249" s="97" t="s">
        <v>298</v>
      </c>
    </row>
    <row r="250" spans="1:65" s="1" customFormat="1" ht="29.25" x14ac:dyDescent="0.2">
      <c r="A250" s="156"/>
      <c r="B250" s="16"/>
      <c r="C250" s="156"/>
      <c r="D250" s="99" t="s">
        <v>84</v>
      </c>
      <c r="E250" s="156"/>
      <c r="F250" s="100" t="s">
        <v>180</v>
      </c>
      <c r="G250" s="156"/>
      <c r="H250" s="156"/>
      <c r="I250" s="101"/>
      <c r="J250" s="156"/>
      <c r="K250" s="156"/>
      <c r="L250" s="16"/>
      <c r="M250" s="102"/>
      <c r="N250" s="103"/>
      <c r="O250" s="27"/>
      <c r="P250" s="27"/>
      <c r="Q250" s="27"/>
      <c r="R250" s="27"/>
      <c r="S250" s="27"/>
      <c r="T250" s="28"/>
      <c r="U250" s="156"/>
      <c r="V250" s="156"/>
      <c r="W250" s="156"/>
      <c r="X250" s="156"/>
      <c r="Y250" s="156"/>
      <c r="Z250" s="156"/>
      <c r="AA250" s="156"/>
      <c r="AB250" s="156"/>
      <c r="AC250" s="156"/>
      <c r="AD250" s="156"/>
      <c r="AE250" s="156"/>
      <c r="AT250" s="10" t="s">
        <v>84</v>
      </c>
      <c r="AU250" s="10" t="s">
        <v>47</v>
      </c>
    </row>
    <row r="251" spans="1:65" s="1" customFormat="1" ht="29.25" x14ac:dyDescent="0.2">
      <c r="A251" s="156"/>
      <c r="B251" s="16"/>
      <c r="C251" s="156"/>
      <c r="D251" s="99" t="s">
        <v>86</v>
      </c>
      <c r="E251" s="156"/>
      <c r="F251" s="104" t="s">
        <v>414</v>
      </c>
      <c r="G251" s="156"/>
      <c r="H251" s="156"/>
      <c r="I251" s="101"/>
      <c r="J251" s="156"/>
      <c r="K251" s="156"/>
      <c r="L251" s="16"/>
      <c r="M251" s="102"/>
      <c r="N251" s="103"/>
      <c r="O251" s="27"/>
      <c r="P251" s="27"/>
      <c r="Q251" s="27"/>
      <c r="R251" s="27"/>
      <c r="S251" s="27"/>
      <c r="T251" s="28"/>
      <c r="U251" s="156"/>
      <c r="V251" s="156"/>
      <c r="W251" s="156"/>
      <c r="X251" s="156"/>
      <c r="Y251" s="156"/>
      <c r="Z251" s="156"/>
      <c r="AA251" s="156"/>
      <c r="AB251" s="156"/>
      <c r="AC251" s="156"/>
      <c r="AD251" s="156"/>
      <c r="AE251" s="156"/>
      <c r="AT251" s="10" t="s">
        <v>86</v>
      </c>
      <c r="AU251" s="10" t="s">
        <v>47</v>
      </c>
    </row>
    <row r="252" spans="1:65" s="5" customFormat="1" ht="22.9" customHeight="1" x14ac:dyDescent="0.2">
      <c r="B252" s="72"/>
      <c r="D252" s="73" t="s">
        <v>44</v>
      </c>
      <c r="E252" s="83" t="s">
        <v>129</v>
      </c>
      <c r="F252" s="83" t="s">
        <v>300</v>
      </c>
      <c r="I252" s="75"/>
      <c r="J252" s="84">
        <f>BK252</f>
        <v>21625.94</v>
      </c>
      <c r="L252" s="72"/>
      <c r="M252" s="77"/>
      <c r="N252" s="78"/>
      <c r="O252" s="78"/>
      <c r="P252" s="79">
        <f>SUM(P253:P283)</f>
        <v>0</v>
      </c>
      <c r="Q252" s="78"/>
      <c r="R252" s="79">
        <f>SUM(R253:R283)</f>
        <v>0.35522500000000001</v>
      </c>
      <c r="S252" s="78"/>
      <c r="T252" s="80">
        <f>SUM(T253:T283)</f>
        <v>0</v>
      </c>
      <c r="AR252" s="73" t="s">
        <v>46</v>
      </c>
      <c r="AT252" s="81" t="s">
        <v>44</v>
      </c>
      <c r="AU252" s="81" t="s">
        <v>46</v>
      </c>
      <c r="AY252" s="73" t="s">
        <v>75</v>
      </c>
      <c r="BK252" s="82">
        <f>SUM(BK253:BK283)</f>
        <v>21625.94</v>
      </c>
    </row>
    <row r="253" spans="1:65" s="1" customFormat="1" ht="24.2" customHeight="1" x14ac:dyDescent="0.2">
      <c r="A253" s="156"/>
      <c r="B253" s="85"/>
      <c r="C253" s="86" t="s">
        <v>301</v>
      </c>
      <c r="D253" s="86" t="s">
        <v>78</v>
      </c>
      <c r="E253" s="87" t="s">
        <v>302</v>
      </c>
      <c r="F253" s="88" t="s">
        <v>303</v>
      </c>
      <c r="G253" s="89" t="s">
        <v>270</v>
      </c>
      <c r="H253" s="90">
        <v>3.25</v>
      </c>
      <c r="I253" s="91">
        <v>617.16852473597498</v>
      </c>
      <c r="J253" s="92">
        <f>ROUND(I253*H253,2)</f>
        <v>2005.8</v>
      </c>
      <c r="K253" s="88" t="s">
        <v>82</v>
      </c>
      <c r="L253" s="16"/>
      <c r="M253" s="93" t="s">
        <v>0</v>
      </c>
      <c r="N253" s="94" t="s">
        <v>27</v>
      </c>
      <c r="O253" s="27"/>
      <c r="P253" s="95">
        <f>O253*H253</f>
        <v>0</v>
      </c>
      <c r="Q253" s="95">
        <v>4.2199999999999998E-3</v>
      </c>
      <c r="R253" s="95">
        <f>Q253*H253</f>
        <v>1.3715E-2</v>
      </c>
      <c r="S253" s="95">
        <v>0</v>
      </c>
      <c r="T253" s="96">
        <f>S253*H253</f>
        <v>0</v>
      </c>
      <c r="U253" s="156"/>
      <c r="V253" s="156"/>
      <c r="W253" s="156"/>
      <c r="X253" s="156"/>
      <c r="Y253" s="156"/>
      <c r="Z253" s="156"/>
      <c r="AA253" s="156"/>
      <c r="AB253" s="156"/>
      <c r="AC253" s="156"/>
      <c r="AD253" s="156"/>
      <c r="AE253" s="156"/>
      <c r="AR253" s="97" t="s">
        <v>83</v>
      </c>
      <c r="AT253" s="97" t="s">
        <v>78</v>
      </c>
      <c r="AU253" s="97" t="s">
        <v>47</v>
      </c>
      <c r="AY253" s="10" t="s">
        <v>75</v>
      </c>
      <c r="BE253" s="98">
        <f>IF(N253="základní",J253,0)</f>
        <v>2005.8</v>
      </c>
      <c r="BF253" s="98">
        <f>IF(N253="snížená",J253,0)</f>
        <v>0</v>
      </c>
      <c r="BG253" s="98">
        <f>IF(N253="zákl. přenesená",J253,0)</f>
        <v>0</v>
      </c>
      <c r="BH253" s="98">
        <f>IF(N253="sníž. přenesená",J253,0)</f>
        <v>0</v>
      </c>
      <c r="BI253" s="98">
        <f>IF(N253="nulová",J253,0)</f>
        <v>0</v>
      </c>
      <c r="BJ253" s="10" t="s">
        <v>46</v>
      </c>
      <c r="BK253" s="98">
        <f>ROUND(I253*H253,2)</f>
        <v>2005.8</v>
      </c>
      <c r="BL253" s="10" t="s">
        <v>83</v>
      </c>
      <c r="BM253" s="97" t="s">
        <v>304</v>
      </c>
    </row>
    <row r="254" spans="1:65" s="1" customFormat="1" ht="29.25" x14ac:dyDescent="0.2">
      <c r="A254" s="156"/>
      <c r="B254" s="16"/>
      <c r="C254" s="156"/>
      <c r="D254" s="99" t="s">
        <v>84</v>
      </c>
      <c r="E254" s="156"/>
      <c r="F254" s="100" t="s">
        <v>305</v>
      </c>
      <c r="G254" s="156"/>
      <c r="H254" s="156"/>
      <c r="I254" s="101"/>
      <c r="J254" s="156"/>
      <c r="K254" s="156"/>
      <c r="L254" s="16"/>
      <c r="M254" s="102"/>
      <c r="N254" s="103"/>
      <c r="O254" s="27"/>
      <c r="P254" s="27"/>
      <c r="Q254" s="27"/>
      <c r="R254" s="27"/>
      <c r="S254" s="27"/>
      <c r="T254" s="28"/>
      <c r="U254" s="156"/>
      <c r="V254" s="156"/>
      <c r="W254" s="156"/>
      <c r="X254" s="156"/>
      <c r="Y254" s="156"/>
      <c r="Z254" s="156"/>
      <c r="AA254" s="156"/>
      <c r="AB254" s="156"/>
      <c r="AC254" s="156"/>
      <c r="AD254" s="156"/>
      <c r="AE254" s="156"/>
      <c r="AT254" s="10" t="s">
        <v>84</v>
      </c>
      <c r="AU254" s="10" t="s">
        <v>47</v>
      </c>
    </row>
    <row r="255" spans="1:65" s="1" customFormat="1" ht="29.25" x14ac:dyDescent="0.2">
      <c r="A255" s="156"/>
      <c r="B255" s="16"/>
      <c r="C255" s="156"/>
      <c r="D255" s="99" t="s">
        <v>86</v>
      </c>
      <c r="E255" s="156"/>
      <c r="F255" s="104" t="s">
        <v>414</v>
      </c>
      <c r="G255" s="156"/>
      <c r="H255" s="156"/>
      <c r="I255" s="101"/>
      <c r="J255" s="156"/>
      <c r="K255" s="156"/>
      <c r="L255" s="16"/>
      <c r="M255" s="102"/>
      <c r="N255" s="103"/>
      <c r="O255" s="27"/>
      <c r="P255" s="27"/>
      <c r="Q255" s="27"/>
      <c r="R255" s="27"/>
      <c r="S255" s="27"/>
      <c r="T255" s="28"/>
      <c r="U255" s="156"/>
      <c r="V255" s="156"/>
      <c r="W255" s="156"/>
      <c r="X255" s="156"/>
      <c r="Y255" s="156"/>
      <c r="Z255" s="156"/>
      <c r="AA255" s="156"/>
      <c r="AB255" s="156"/>
      <c r="AC255" s="156"/>
      <c r="AD255" s="156"/>
      <c r="AE255" s="156"/>
      <c r="AT255" s="10" t="s">
        <v>86</v>
      </c>
      <c r="AU255" s="10" t="s">
        <v>47</v>
      </c>
    </row>
    <row r="256" spans="1:65" s="7" customFormat="1" x14ac:dyDescent="0.2">
      <c r="B256" s="112"/>
      <c r="D256" s="99" t="s">
        <v>87</v>
      </c>
      <c r="E256" s="113" t="s">
        <v>0</v>
      </c>
      <c r="F256" s="114">
        <v>3.25</v>
      </c>
      <c r="H256" s="115">
        <v>3.25</v>
      </c>
      <c r="I256" s="116"/>
      <c r="L256" s="112"/>
      <c r="M256" s="117"/>
      <c r="N256" s="118"/>
      <c r="O256" s="118"/>
      <c r="P256" s="118"/>
      <c r="Q256" s="118"/>
      <c r="R256" s="118"/>
      <c r="S256" s="118"/>
      <c r="T256" s="119"/>
      <c r="AT256" s="113" t="s">
        <v>87</v>
      </c>
      <c r="AU256" s="113" t="s">
        <v>47</v>
      </c>
      <c r="AV256" s="7" t="s">
        <v>47</v>
      </c>
      <c r="AW256" s="7" t="s">
        <v>19</v>
      </c>
      <c r="AX256" s="7" t="s">
        <v>46</v>
      </c>
      <c r="AY256" s="113" t="s">
        <v>75</v>
      </c>
    </row>
    <row r="257" spans="1:65" s="1" customFormat="1" ht="24.2" customHeight="1" x14ac:dyDescent="0.2">
      <c r="A257" s="156"/>
      <c r="B257" s="85"/>
      <c r="C257" s="86" t="s">
        <v>306</v>
      </c>
      <c r="D257" s="86" t="s">
        <v>78</v>
      </c>
      <c r="E257" s="87" t="s">
        <v>307</v>
      </c>
      <c r="F257" s="88" t="s">
        <v>308</v>
      </c>
      <c r="G257" s="89" t="s">
        <v>309</v>
      </c>
      <c r="H257" s="90">
        <v>2</v>
      </c>
      <c r="I257" s="91">
        <v>214.24530512569368</v>
      </c>
      <c r="J257" s="92">
        <f>ROUND(I257*H257,2)</f>
        <v>428.49</v>
      </c>
      <c r="K257" s="88" t="s">
        <v>82</v>
      </c>
      <c r="L257" s="16"/>
      <c r="M257" s="93" t="s">
        <v>0</v>
      </c>
      <c r="N257" s="94" t="s">
        <v>27</v>
      </c>
      <c r="O257" s="27"/>
      <c r="P257" s="95">
        <f>O257*H257</f>
        <v>0</v>
      </c>
      <c r="Q257" s="95">
        <v>0</v>
      </c>
      <c r="R257" s="95">
        <f>Q257*H257</f>
        <v>0</v>
      </c>
      <c r="S257" s="95">
        <v>0</v>
      </c>
      <c r="T257" s="96">
        <f>S257*H257</f>
        <v>0</v>
      </c>
      <c r="U257" s="156"/>
      <c r="V257" s="156"/>
      <c r="W257" s="156"/>
      <c r="X257" s="156"/>
      <c r="Y257" s="156"/>
      <c r="Z257" s="156"/>
      <c r="AA257" s="156"/>
      <c r="AB257" s="156"/>
      <c r="AC257" s="156"/>
      <c r="AD257" s="156"/>
      <c r="AE257" s="156"/>
      <c r="AR257" s="97" t="s">
        <v>83</v>
      </c>
      <c r="AT257" s="97" t="s">
        <v>78</v>
      </c>
      <c r="AU257" s="97" t="s">
        <v>47</v>
      </c>
      <c r="AY257" s="10" t="s">
        <v>75</v>
      </c>
      <c r="BE257" s="98">
        <f>IF(N257="základní",J257,0)</f>
        <v>428.49</v>
      </c>
      <c r="BF257" s="98">
        <f>IF(N257="snížená",J257,0)</f>
        <v>0</v>
      </c>
      <c r="BG257" s="98">
        <f>IF(N257="zákl. přenesená",J257,0)</f>
        <v>0</v>
      </c>
      <c r="BH257" s="98">
        <f>IF(N257="sníž. přenesená",J257,0)</f>
        <v>0</v>
      </c>
      <c r="BI257" s="98">
        <f>IF(N257="nulová",J257,0)</f>
        <v>0</v>
      </c>
      <c r="BJ257" s="10" t="s">
        <v>46</v>
      </c>
      <c r="BK257" s="98">
        <f>ROUND(I257*H257,2)</f>
        <v>428.49</v>
      </c>
      <c r="BL257" s="10" t="s">
        <v>83</v>
      </c>
      <c r="BM257" s="97" t="s">
        <v>310</v>
      </c>
    </row>
    <row r="258" spans="1:65" s="1" customFormat="1" ht="19.5" x14ac:dyDescent="0.2">
      <c r="A258" s="156"/>
      <c r="B258" s="16"/>
      <c r="C258" s="156"/>
      <c r="D258" s="99" t="s">
        <v>84</v>
      </c>
      <c r="E258" s="156"/>
      <c r="F258" s="100" t="s">
        <v>311</v>
      </c>
      <c r="G258" s="156"/>
      <c r="H258" s="156"/>
      <c r="I258" s="101"/>
      <c r="J258" s="156"/>
      <c r="K258" s="156"/>
      <c r="L258" s="16"/>
      <c r="M258" s="102"/>
      <c r="N258" s="103"/>
      <c r="O258" s="27"/>
      <c r="P258" s="27"/>
      <c r="Q258" s="27"/>
      <c r="R258" s="27"/>
      <c r="S258" s="27"/>
      <c r="T258" s="28"/>
      <c r="U258" s="156"/>
      <c r="V258" s="156"/>
      <c r="W258" s="156"/>
      <c r="X258" s="156"/>
      <c r="Y258" s="156"/>
      <c r="Z258" s="156"/>
      <c r="AA258" s="156"/>
      <c r="AB258" s="156"/>
      <c r="AC258" s="156"/>
      <c r="AD258" s="156"/>
      <c r="AE258" s="156"/>
      <c r="AT258" s="10" t="s">
        <v>84</v>
      </c>
      <c r="AU258" s="10" t="s">
        <v>47</v>
      </c>
    </row>
    <row r="259" spans="1:65" s="1" customFormat="1" ht="29.25" x14ac:dyDescent="0.2">
      <c r="A259" s="156"/>
      <c r="B259" s="16"/>
      <c r="C259" s="156"/>
      <c r="D259" s="99" t="s">
        <v>86</v>
      </c>
      <c r="E259" s="156"/>
      <c r="F259" s="104" t="s">
        <v>414</v>
      </c>
      <c r="G259" s="156"/>
      <c r="H259" s="156"/>
      <c r="I259" s="101"/>
      <c r="J259" s="156"/>
      <c r="K259" s="156"/>
      <c r="L259" s="16"/>
      <c r="M259" s="102"/>
      <c r="N259" s="103"/>
      <c r="O259" s="27"/>
      <c r="P259" s="27"/>
      <c r="Q259" s="27"/>
      <c r="R259" s="27"/>
      <c r="S259" s="27"/>
      <c r="T259" s="28"/>
      <c r="U259" s="156"/>
      <c r="V259" s="156"/>
      <c r="W259" s="156"/>
      <c r="X259" s="156"/>
      <c r="Y259" s="156"/>
      <c r="Z259" s="156"/>
      <c r="AA259" s="156"/>
      <c r="AB259" s="156"/>
      <c r="AC259" s="156"/>
      <c r="AD259" s="156"/>
      <c r="AE259" s="156"/>
      <c r="AT259" s="10" t="s">
        <v>86</v>
      </c>
      <c r="AU259" s="10" t="s">
        <v>47</v>
      </c>
    </row>
    <row r="260" spans="1:65" s="1" customFormat="1" ht="14.45" customHeight="1" x14ac:dyDescent="0.2">
      <c r="A260" s="156"/>
      <c r="B260" s="85"/>
      <c r="C260" s="136" t="s">
        <v>312</v>
      </c>
      <c r="D260" s="136" t="s">
        <v>126</v>
      </c>
      <c r="E260" s="137" t="s">
        <v>313</v>
      </c>
      <c r="F260" s="138" t="s">
        <v>314</v>
      </c>
      <c r="G260" s="139" t="s">
        <v>309</v>
      </c>
      <c r="H260" s="140">
        <v>1</v>
      </c>
      <c r="I260" s="141">
        <v>100.40486420000001</v>
      </c>
      <c r="J260" s="142">
        <f>ROUND(I260*H260,2)</f>
        <v>100.4</v>
      </c>
      <c r="K260" s="138" t="s">
        <v>82</v>
      </c>
      <c r="L260" s="143"/>
      <c r="M260" s="144" t="s">
        <v>0</v>
      </c>
      <c r="N260" s="145" t="s">
        <v>27</v>
      </c>
      <c r="O260" s="27"/>
      <c r="P260" s="95">
        <f>O260*H260</f>
        <v>0</v>
      </c>
      <c r="Q260" s="95">
        <v>6.4999999999999997E-4</v>
      </c>
      <c r="R260" s="95">
        <f>Q260*H260</f>
        <v>6.4999999999999997E-4</v>
      </c>
      <c r="S260" s="95">
        <v>0</v>
      </c>
      <c r="T260" s="96">
        <f>S260*H260</f>
        <v>0</v>
      </c>
      <c r="U260" s="156"/>
      <c r="V260" s="156"/>
      <c r="W260" s="156"/>
      <c r="X260" s="156"/>
      <c r="Y260" s="156"/>
      <c r="Z260" s="156"/>
      <c r="AA260" s="156"/>
      <c r="AB260" s="156"/>
      <c r="AC260" s="156"/>
      <c r="AD260" s="156"/>
      <c r="AE260" s="156"/>
      <c r="AR260" s="97" t="s">
        <v>129</v>
      </c>
      <c r="AT260" s="97" t="s">
        <v>126</v>
      </c>
      <c r="AU260" s="97" t="s">
        <v>47</v>
      </c>
      <c r="AY260" s="10" t="s">
        <v>75</v>
      </c>
      <c r="BE260" s="98">
        <f>IF(N260="základní",J260,0)</f>
        <v>100.4</v>
      </c>
      <c r="BF260" s="98">
        <f>IF(N260="snížená",J260,0)</f>
        <v>0</v>
      </c>
      <c r="BG260" s="98">
        <f>IF(N260="zákl. přenesená",J260,0)</f>
        <v>0</v>
      </c>
      <c r="BH260" s="98">
        <f>IF(N260="sníž. přenesená",J260,0)</f>
        <v>0</v>
      </c>
      <c r="BI260" s="98">
        <f>IF(N260="nulová",J260,0)</f>
        <v>0</v>
      </c>
      <c r="BJ260" s="10" t="s">
        <v>46</v>
      </c>
      <c r="BK260" s="98">
        <f>ROUND(I260*H260,2)</f>
        <v>100.4</v>
      </c>
      <c r="BL260" s="10" t="s">
        <v>83</v>
      </c>
      <c r="BM260" s="97" t="s">
        <v>315</v>
      </c>
    </row>
    <row r="261" spans="1:65" s="1" customFormat="1" x14ac:dyDescent="0.2">
      <c r="A261" s="156"/>
      <c r="B261" s="16"/>
      <c r="C261" s="156"/>
      <c r="D261" s="99" t="s">
        <v>84</v>
      </c>
      <c r="E261" s="156"/>
      <c r="F261" s="100" t="s">
        <v>316</v>
      </c>
      <c r="G261" s="156"/>
      <c r="H261" s="156"/>
      <c r="I261" s="101"/>
      <c r="J261" s="156"/>
      <c r="K261" s="156"/>
      <c r="L261" s="16"/>
      <c r="M261" s="102"/>
      <c r="N261" s="103"/>
      <c r="O261" s="27"/>
      <c r="P261" s="27"/>
      <c r="Q261" s="27"/>
      <c r="R261" s="27"/>
      <c r="S261" s="27"/>
      <c r="T261" s="28"/>
      <c r="U261" s="156"/>
      <c r="V261" s="156"/>
      <c r="W261" s="156"/>
      <c r="X261" s="156"/>
      <c r="Y261" s="156"/>
      <c r="Z261" s="156"/>
      <c r="AA261" s="156"/>
      <c r="AB261" s="156"/>
      <c r="AC261" s="156"/>
      <c r="AD261" s="156"/>
      <c r="AE261" s="156"/>
      <c r="AT261" s="10" t="s">
        <v>84</v>
      </c>
      <c r="AU261" s="10" t="s">
        <v>47</v>
      </c>
    </row>
    <row r="262" spans="1:65" s="1" customFormat="1" ht="14.45" customHeight="1" x14ac:dyDescent="0.2">
      <c r="A262" s="156"/>
      <c r="B262" s="85"/>
      <c r="C262" s="136" t="s">
        <v>317</v>
      </c>
      <c r="D262" s="136" t="s">
        <v>126</v>
      </c>
      <c r="E262" s="137" t="s">
        <v>318</v>
      </c>
      <c r="F262" s="138" t="s">
        <v>319</v>
      </c>
      <c r="G262" s="139" t="s">
        <v>309</v>
      </c>
      <c r="H262" s="140">
        <v>1</v>
      </c>
      <c r="I262" s="141">
        <v>236.80392499999999</v>
      </c>
      <c r="J262" s="142">
        <f>ROUND(I262*H262,2)</f>
        <v>236.8</v>
      </c>
      <c r="K262" s="138" t="s">
        <v>0</v>
      </c>
      <c r="L262" s="143"/>
      <c r="M262" s="144" t="s">
        <v>0</v>
      </c>
      <c r="N262" s="145" t="s">
        <v>27</v>
      </c>
      <c r="O262" s="27"/>
      <c r="P262" s="95">
        <f>O262*H262</f>
        <v>0</v>
      </c>
      <c r="Q262" s="95">
        <v>6.4999999999999997E-4</v>
      </c>
      <c r="R262" s="95">
        <f>Q262*H262</f>
        <v>6.4999999999999997E-4</v>
      </c>
      <c r="S262" s="95">
        <v>0</v>
      </c>
      <c r="T262" s="96">
        <f>S262*H262</f>
        <v>0</v>
      </c>
      <c r="U262" s="156"/>
      <c r="V262" s="156"/>
      <c r="W262" s="156"/>
      <c r="X262" s="156"/>
      <c r="Y262" s="156"/>
      <c r="Z262" s="156"/>
      <c r="AA262" s="156"/>
      <c r="AB262" s="156"/>
      <c r="AC262" s="156"/>
      <c r="AD262" s="156"/>
      <c r="AE262" s="156"/>
      <c r="AR262" s="97" t="s">
        <v>129</v>
      </c>
      <c r="AT262" s="97" t="s">
        <v>126</v>
      </c>
      <c r="AU262" s="97" t="s">
        <v>47</v>
      </c>
      <c r="AY262" s="10" t="s">
        <v>75</v>
      </c>
      <c r="BE262" s="98">
        <f>IF(N262="základní",J262,0)</f>
        <v>236.8</v>
      </c>
      <c r="BF262" s="98">
        <f>IF(N262="snížená",J262,0)</f>
        <v>0</v>
      </c>
      <c r="BG262" s="98">
        <f>IF(N262="zákl. přenesená",J262,0)</f>
        <v>0</v>
      </c>
      <c r="BH262" s="98">
        <f>IF(N262="sníž. přenesená",J262,0)</f>
        <v>0</v>
      </c>
      <c r="BI262" s="98">
        <f>IF(N262="nulová",J262,0)</f>
        <v>0</v>
      </c>
      <c r="BJ262" s="10" t="s">
        <v>46</v>
      </c>
      <c r="BK262" s="98">
        <f>ROUND(I262*H262,2)</f>
        <v>236.8</v>
      </c>
      <c r="BL262" s="10" t="s">
        <v>83</v>
      </c>
      <c r="BM262" s="97" t="s">
        <v>320</v>
      </c>
    </row>
    <row r="263" spans="1:65" s="1" customFormat="1" x14ac:dyDescent="0.2">
      <c r="A263" s="156"/>
      <c r="B263" s="16"/>
      <c r="C263" s="156"/>
      <c r="D263" s="99" t="s">
        <v>84</v>
      </c>
      <c r="E263" s="156"/>
      <c r="F263" s="100" t="s">
        <v>319</v>
      </c>
      <c r="G263" s="156"/>
      <c r="H263" s="156"/>
      <c r="I263" s="101"/>
      <c r="J263" s="156"/>
      <c r="K263" s="156"/>
      <c r="L263" s="16"/>
      <c r="M263" s="102"/>
      <c r="N263" s="103"/>
      <c r="O263" s="27"/>
      <c r="P263" s="27"/>
      <c r="Q263" s="27"/>
      <c r="R263" s="27"/>
      <c r="S263" s="27"/>
      <c r="T263" s="28"/>
      <c r="U263" s="156"/>
      <c r="V263" s="156"/>
      <c r="W263" s="156"/>
      <c r="X263" s="156"/>
      <c r="Y263" s="156"/>
      <c r="Z263" s="156"/>
      <c r="AA263" s="156"/>
      <c r="AB263" s="156"/>
      <c r="AC263" s="156"/>
      <c r="AD263" s="156"/>
      <c r="AE263" s="156"/>
      <c r="AT263" s="10" t="s">
        <v>84</v>
      </c>
      <c r="AU263" s="10" t="s">
        <v>47</v>
      </c>
    </row>
    <row r="264" spans="1:65" s="1" customFormat="1" ht="14.45" customHeight="1" x14ac:dyDescent="0.2">
      <c r="A264" s="156"/>
      <c r="B264" s="85"/>
      <c r="C264" s="86" t="s">
        <v>321</v>
      </c>
      <c r="D264" s="86" t="s">
        <v>78</v>
      </c>
      <c r="E264" s="87" t="s">
        <v>322</v>
      </c>
      <c r="F264" s="88" t="s">
        <v>323</v>
      </c>
      <c r="G264" s="89" t="s">
        <v>309</v>
      </c>
      <c r="H264" s="90">
        <v>1</v>
      </c>
      <c r="I264" s="91">
        <v>214.24530512569368</v>
      </c>
      <c r="J264" s="92">
        <f>ROUND(I264*H264,2)</f>
        <v>214.25</v>
      </c>
      <c r="K264" s="88" t="s">
        <v>82</v>
      </c>
      <c r="L264" s="16"/>
      <c r="M264" s="93" t="s">
        <v>0</v>
      </c>
      <c r="N264" s="94" t="s">
        <v>27</v>
      </c>
      <c r="O264" s="27"/>
      <c r="P264" s="95">
        <f>O264*H264</f>
        <v>0</v>
      </c>
      <c r="Q264" s="95">
        <v>0</v>
      </c>
      <c r="R264" s="95">
        <f>Q264*H264</f>
        <v>0</v>
      </c>
      <c r="S264" s="95">
        <v>0</v>
      </c>
      <c r="T264" s="96">
        <f>S264*H264</f>
        <v>0</v>
      </c>
      <c r="U264" s="156"/>
      <c r="V264" s="156"/>
      <c r="W264" s="156"/>
      <c r="X264" s="156"/>
      <c r="Y264" s="156"/>
      <c r="Z264" s="156"/>
      <c r="AA264" s="156"/>
      <c r="AB264" s="156"/>
      <c r="AC264" s="156"/>
      <c r="AD264" s="156"/>
      <c r="AE264" s="156"/>
      <c r="AR264" s="97" t="s">
        <v>83</v>
      </c>
      <c r="AT264" s="97" t="s">
        <v>78</v>
      </c>
      <c r="AU264" s="97" t="s">
        <v>47</v>
      </c>
      <c r="AY264" s="10" t="s">
        <v>75</v>
      </c>
      <c r="BE264" s="98">
        <f>IF(N264="základní",J264,0)</f>
        <v>214.25</v>
      </c>
      <c r="BF264" s="98">
        <f>IF(N264="snížená",J264,0)</f>
        <v>0</v>
      </c>
      <c r="BG264" s="98">
        <f>IF(N264="zákl. přenesená",J264,0)</f>
        <v>0</v>
      </c>
      <c r="BH264" s="98">
        <f>IF(N264="sníž. přenesená",J264,0)</f>
        <v>0</v>
      </c>
      <c r="BI264" s="98">
        <f>IF(N264="nulová",J264,0)</f>
        <v>0</v>
      </c>
      <c r="BJ264" s="10" t="s">
        <v>46</v>
      </c>
      <c r="BK264" s="98">
        <f>ROUND(I264*H264,2)</f>
        <v>214.25</v>
      </c>
      <c r="BL264" s="10" t="s">
        <v>83</v>
      </c>
      <c r="BM264" s="97" t="s">
        <v>324</v>
      </c>
    </row>
    <row r="265" spans="1:65" s="1" customFormat="1" ht="19.5" x14ac:dyDescent="0.2">
      <c r="A265" s="156"/>
      <c r="B265" s="16"/>
      <c r="C265" s="156"/>
      <c r="D265" s="99" t="s">
        <v>84</v>
      </c>
      <c r="E265" s="156"/>
      <c r="F265" s="100" t="s">
        <v>325</v>
      </c>
      <c r="G265" s="156"/>
      <c r="H265" s="156"/>
      <c r="I265" s="101"/>
      <c r="J265" s="156"/>
      <c r="K265" s="156"/>
      <c r="L265" s="16"/>
      <c r="M265" s="102"/>
      <c r="N265" s="103"/>
      <c r="O265" s="27"/>
      <c r="P265" s="27"/>
      <c r="Q265" s="27"/>
      <c r="R265" s="27"/>
      <c r="S265" s="27"/>
      <c r="T265" s="28"/>
      <c r="U265" s="156"/>
      <c r="V265" s="156"/>
      <c r="W265" s="156"/>
      <c r="X265" s="156"/>
      <c r="Y265" s="156"/>
      <c r="Z265" s="156"/>
      <c r="AA265" s="156"/>
      <c r="AB265" s="156"/>
      <c r="AC265" s="156"/>
      <c r="AD265" s="156"/>
      <c r="AE265" s="156"/>
      <c r="AT265" s="10" t="s">
        <v>84</v>
      </c>
      <c r="AU265" s="10" t="s">
        <v>47</v>
      </c>
    </row>
    <row r="266" spans="1:65" s="1" customFormat="1" ht="29.25" x14ac:dyDescent="0.2">
      <c r="A266" s="156"/>
      <c r="B266" s="16"/>
      <c r="C266" s="156"/>
      <c r="D266" s="99" t="s">
        <v>86</v>
      </c>
      <c r="E266" s="156"/>
      <c r="F266" s="104" t="s">
        <v>414</v>
      </c>
      <c r="G266" s="156"/>
      <c r="H266" s="156"/>
      <c r="I266" s="101"/>
      <c r="J266" s="156"/>
      <c r="K266" s="156"/>
      <c r="L266" s="16"/>
      <c r="M266" s="102"/>
      <c r="N266" s="103"/>
      <c r="O266" s="27"/>
      <c r="P266" s="27"/>
      <c r="Q266" s="27"/>
      <c r="R266" s="27"/>
      <c r="S266" s="27"/>
      <c r="T266" s="28"/>
      <c r="U266" s="156"/>
      <c r="V266" s="156"/>
      <c r="W266" s="156"/>
      <c r="X266" s="156"/>
      <c r="Y266" s="156"/>
      <c r="Z266" s="156"/>
      <c r="AA266" s="156"/>
      <c r="AB266" s="156"/>
      <c r="AC266" s="156"/>
      <c r="AD266" s="156"/>
      <c r="AE266" s="156"/>
      <c r="AT266" s="10" t="s">
        <v>86</v>
      </c>
      <c r="AU266" s="10" t="s">
        <v>47</v>
      </c>
    </row>
    <row r="267" spans="1:65" s="6" customFormat="1" x14ac:dyDescent="0.2">
      <c r="B267" s="105"/>
      <c r="D267" s="99" t="s">
        <v>87</v>
      </c>
      <c r="E267" s="106" t="s">
        <v>0</v>
      </c>
      <c r="F267" s="107" t="s">
        <v>326</v>
      </c>
      <c r="H267" s="106" t="s">
        <v>0</v>
      </c>
      <c r="I267" s="108"/>
      <c r="L267" s="105"/>
      <c r="M267" s="109"/>
      <c r="N267" s="110"/>
      <c r="O267" s="110"/>
      <c r="P267" s="110"/>
      <c r="Q267" s="110"/>
      <c r="R267" s="110"/>
      <c r="S267" s="110"/>
      <c r="T267" s="111"/>
      <c r="AT267" s="106" t="s">
        <v>87</v>
      </c>
      <c r="AU267" s="106" t="s">
        <v>47</v>
      </c>
      <c r="AV267" s="6" t="s">
        <v>46</v>
      </c>
      <c r="AW267" s="6" t="s">
        <v>19</v>
      </c>
      <c r="AX267" s="6" t="s">
        <v>45</v>
      </c>
      <c r="AY267" s="106" t="s">
        <v>75</v>
      </c>
    </row>
    <row r="268" spans="1:65" s="7" customFormat="1" x14ac:dyDescent="0.2">
      <c r="B268" s="112"/>
      <c r="D268" s="99" t="s">
        <v>87</v>
      </c>
      <c r="E268" s="113" t="s">
        <v>0</v>
      </c>
      <c r="F268" s="114" t="s">
        <v>89</v>
      </c>
      <c r="H268" s="115">
        <v>1</v>
      </c>
      <c r="I268" s="116"/>
      <c r="L268" s="112"/>
      <c r="M268" s="117"/>
      <c r="N268" s="118"/>
      <c r="O268" s="118"/>
      <c r="P268" s="118"/>
      <c r="Q268" s="118"/>
      <c r="R268" s="118"/>
      <c r="S268" s="118"/>
      <c r="T268" s="119"/>
      <c r="AT268" s="113" t="s">
        <v>87</v>
      </c>
      <c r="AU268" s="113" t="s">
        <v>47</v>
      </c>
      <c r="AV268" s="7" t="s">
        <v>47</v>
      </c>
      <c r="AW268" s="7" t="s">
        <v>19</v>
      </c>
      <c r="AX268" s="7" t="s">
        <v>46</v>
      </c>
      <c r="AY268" s="113" t="s">
        <v>75</v>
      </c>
    </row>
    <row r="269" spans="1:65" s="1" customFormat="1" ht="14.45" customHeight="1" x14ac:dyDescent="0.2">
      <c r="A269" s="156"/>
      <c r="B269" s="85"/>
      <c r="C269" s="136" t="s">
        <v>328</v>
      </c>
      <c r="D269" s="136" t="s">
        <v>126</v>
      </c>
      <c r="E269" s="137" t="s">
        <v>329</v>
      </c>
      <c r="F269" s="138" t="s">
        <v>330</v>
      </c>
      <c r="G269" s="139" t="s">
        <v>309</v>
      </c>
      <c r="H269" s="140">
        <v>1</v>
      </c>
      <c r="I269" s="141">
        <v>59.200981249999998</v>
      </c>
      <c r="J269" s="142">
        <f>ROUND(I269*H269,2)</f>
        <v>59.2</v>
      </c>
      <c r="K269" s="138" t="s">
        <v>82</v>
      </c>
      <c r="L269" s="143"/>
      <c r="M269" s="144" t="s">
        <v>0</v>
      </c>
      <c r="N269" s="145" t="s">
        <v>27</v>
      </c>
      <c r="O269" s="27"/>
      <c r="P269" s="95">
        <f>O269*H269</f>
        <v>0</v>
      </c>
      <c r="Q269" s="95">
        <v>2.9E-4</v>
      </c>
      <c r="R269" s="95">
        <f>Q269*H269</f>
        <v>2.9E-4</v>
      </c>
      <c r="S269" s="95">
        <v>0</v>
      </c>
      <c r="T269" s="96">
        <f>S269*H269</f>
        <v>0</v>
      </c>
      <c r="U269" s="156"/>
      <c r="V269" s="156"/>
      <c r="W269" s="156"/>
      <c r="X269" s="156"/>
      <c r="Y269" s="156"/>
      <c r="Z269" s="156"/>
      <c r="AA269" s="156"/>
      <c r="AB269" s="156"/>
      <c r="AC269" s="156"/>
      <c r="AD269" s="156"/>
      <c r="AE269" s="156"/>
      <c r="AR269" s="97" t="s">
        <v>129</v>
      </c>
      <c r="AT269" s="97" t="s">
        <v>126</v>
      </c>
      <c r="AU269" s="97" t="s">
        <v>47</v>
      </c>
      <c r="AY269" s="10" t="s">
        <v>75</v>
      </c>
      <c r="BE269" s="98">
        <f>IF(N269="základní",J269,0)</f>
        <v>59.2</v>
      </c>
      <c r="BF269" s="98">
        <f>IF(N269="snížená",J269,0)</f>
        <v>0</v>
      </c>
      <c r="BG269" s="98">
        <f>IF(N269="zákl. přenesená",J269,0)</f>
        <v>0</v>
      </c>
      <c r="BH269" s="98">
        <f>IF(N269="sníž. přenesená",J269,0)</f>
        <v>0</v>
      </c>
      <c r="BI269" s="98">
        <f>IF(N269="nulová",J269,0)</f>
        <v>0</v>
      </c>
      <c r="BJ269" s="10" t="s">
        <v>46</v>
      </c>
      <c r="BK269" s="98">
        <f>ROUND(I269*H269,2)</f>
        <v>59.2</v>
      </c>
      <c r="BL269" s="10" t="s">
        <v>83</v>
      </c>
      <c r="BM269" s="97" t="s">
        <v>331</v>
      </c>
    </row>
    <row r="270" spans="1:65" s="1" customFormat="1" x14ac:dyDescent="0.2">
      <c r="A270" s="156"/>
      <c r="B270" s="16"/>
      <c r="C270" s="156"/>
      <c r="D270" s="99" t="s">
        <v>84</v>
      </c>
      <c r="E270" s="156"/>
      <c r="F270" s="100" t="s">
        <v>330</v>
      </c>
      <c r="G270" s="156"/>
      <c r="H270" s="156"/>
      <c r="I270" s="101"/>
      <c r="J270" s="156"/>
      <c r="K270" s="156"/>
      <c r="L270" s="16"/>
      <c r="M270" s="102"/>
      <c r="N270" s="103"/>
      <c r="O270" s="27"/>
      <c r="P270" s="27"/>
      <c r="Q270" s="27"/>
      <c r="R270" s="27"/>
      <c r="S270" s="27"/>
      <c r="T270" s="28"/>
      <c r="U270" s="156"/>
      <c r="V270" s="156"/>
      <c r="W270" s="156"/>
      <c r="X270" s="156"/>
      <c r="Y270" s="156"/>
      <c r="Z270" s="156"/>
      <c r="AA270" s="156"/>
      <c r="AB270" s="156"/>
      <c r="AC270" s="156"/>
      <c r="AD270" s="156"/>
      <c r="AE270" s="156"/>
      <c r="AT270" s="10" t="s">
        <v>84</v>
      </c>
      <c r="AU270" s="10" t="s">
        <v>47</v>
      </c>
    </row>
    <row r="271" spans="1:65" s="1" customFormat="1" ht="14.45" customHeight="1" x14ac:dyDescent="0.2">
      <c r="A271" s="156"/>
      <c r="B271" s="85"/>
      <c r="C271" s="86" t="s">
        <v>327</v>
      </c>
      <c r="D271" s="86" t="s">
        <v>78</v>
      </c>
      <c r="E271" s="87" t="s">
        <v>332</v>
      </c>
      <c r="F271" s="88" t="s">
        <v>333</v>
      </c>
      <c r="G271" s="89" t="s">
        <v>270</v>
      </c>
      <c r="H271" s="90">
        <v>3.25</v>
      </c>
      <c r="I271" s="91">
        <v>21.984104604889872</v>
      </c>
      <c r="J271" s="92">
        <f>ROUND(I271*H271,2)</f>
        <v>71.45</v>
      </c>
      <c r="K271" s="88" t="s">
        <v>82</v>
      </c>
      <c r="L271" s="16"/>
      <c r="M271" s="93" t="s">
        <v>0</v>
      </c>
      <c r="N271" s="94" t="s">
        <v>27</v>
      </c>
      <c r="O271" s="27"/>
      <c r="P271" s="95">
        <f>O271*H271</f>
        <v>0</v>
      </c>
      <c r="Q271" s="95">
        <v>0</v>
      </c>
      <c r="R271" s="95">
        <f>Q271*H271</f>
        <v>0</v>
      </c>
      <c r="S271" s="95">
        <v>0</v>
      </c>
      <c r="T271" s="96">
        <f>S271*H271</f>
        <v>0</v>
      </c>
      <c r="U271" s="156"/>
      <c r="V271" s="156"/>
      <c r="W271" s="156"/>
      <c r="X271" s="156"/>
      <c r="Y271" s="156"/>
      <c r="Z271" s="156"/>
      <c r="AA271" s="156"/>
      <c r="AB271" s="156"/>
      <c r="AC271" s="156"/>
      <c r="AD271" s="156"/>
      <c r="AE271" s="156"/>
      <c r="AR271" s="97" t="s">
        <v>83</v>
      </c>
      <c r="AT271" s="97" t="s">
        <v>78</v>
      </c>
      <c r="AU271" s="97" t="s">
        <v>47</v>
      </c>
      <c r="AY271" s="10" t="s">
        <v>75</v>
      </c>
      <c r="BE271" s="98">
        <f>IF(N271="základní",J271,0)</f>
        <v>71.45</v>
      </c>
      <c r="BF271" s="98">
        <f>IF(N271="snížená",J271,0)</f>
        <v>0</v>
      </c>
      <c r="BG271" s="98">
        <f>IF(N271="zákl. přenesená",J271,0)</f>
        <v>0</v>
      </c>
      <c r="BH271" s="98">
        <f>IF(N271="sníž. přenesená",J271,0)</f>
        <v>0</v>
      </c>
      <c r="BI271" s="98">
        <f>IF(N271="nulová",J271,0)</f>
        <v>0</v>
      </c>
      <c r="BJ271" s="10" t="s">
        <v>46</v>
      </c>
      <c r="BK271" s="98">
        <f>ROUND(I271*H271,2)</f>
        <v>71.45</v>
      </c>
      <c r="BL271" s="10" t="s">
        <v>83</v>
      </c>
      <c r="BM271" s="97" t="s">
        <v>334</v>
      </c>
    </row>
    <row r="272" spans="1:65" s="1" customFormat="1" x14ac:dyDescent="0.2">
      <c r="A272" s="156"/>
      <c r="B272" s="16"/>
      <c r="C272" s="156"/>
      <c r="D272" s="99" t="s">
        <v>84</v>
      </c>
      <c r="E272" s="156"/>
      <c r="F272" s="100" t="s">
        <v>335</v>
      </c>
      <c r="G272" s="156"/>
      <c r="H272" s="156"/>
      <c r="I272" s="101"/>
      <c r="J272" s="156"/>
      <c r="K272" s="156"/>
      <c r="L272" s="16"/>
      <c r="M272" s="102"/>
      <c r="N272" s="103"/>
      <c r="O272" s="27"/>
      <c r="P272" s="27"/>
      <c r="Q272" s="27"/>
      <c r="R272" s="27"/>
      <c r="S272" s="27"/>
      <c r="T272" s="28"/>
      <c r="U272" s="156"/>
      <c r="V272" s="156"/>
      <c r="W272" s="156"/>
      <c r="X272" s="156"/>
      <c r="Y272" s="156"/>
      <c r="Z272" s="156"/>
      <c r="AA272" s="156"/>
      <c r="AB272" s="156"/>
      <c r="AC272" s="156"/>
      <c r="AD272" s="156"/>
      <c r="AE272" s="156"/>
      <c r="AT272" s="10" t="s">
        <v>84</v>
      </c>
      <c r="AU272" s="10" t="s">
        <v>47</v>
      </c>
    </row>
    <row r="273" spans="1:65" s="1" customFormat="1" ht="19.5" x14ac:dyDescent="0.2">
      <c r="A273" s="156"/>
      <c r="B273" s="16"/>
      <c r="C273" s="156"/>
      <c r="D273" s="99" t="s">
        <v>86</v>
      </c>
      <c r="E273" s="156"/>
      <c r="F273" s="104" t="s">
        <v>336</v>
      </c>
      <c r="G273" s="156"/>
      <c r="H273" s="156"/>
      <c r="I273" s="101"/>
      <c r="J273" s="156"/>
      <c r="K273" s="156"/>
      <c r="L273" s="16"/>
      <c r="M273" s="102"/>
      <c r="N273" s="103"/>
      <c r="O273" s="27"/>
      <c r="P273" s="27"/>
      <c r="Q273" s="27"/>
      <c r="R273" s="27"/>
      <c r="S273" s="27"/>
      <c r="T273" s="28"/>
      <c r="U273" s="156"/>
      <c r="V273" s="156"/>
      <c r="W273" s="156"/>
      <c r="X273" s="156"/>
      <c r="Y273" s="156"/>
      <c r="Z273" s="156"/>
      <c r="AA273" s="156"/>
      <c r="AB273" s="156"/>
      <c r="AC273" s="156"/>
      <c r="AD273" s="156"/>
      <c r="AE273" s="156"/>
      <c r="AT273" s="10" t="s">
        <v>86</v>
      </c>
      <c r="AU273" s="10" t="s">
        <v>47</v>
      </c>
    </row>
    <row r="274" spans="1:65" s="1" customFormat="1" ht="24.2" customHeight="1" x14ac:dyDescent="0.2">
      <c r="A274" s="156"/>
      <c r="B274" s="85"/>
      <c r="C274" s="86" t="s">
        <v>142</v>
      </c>
      <c r="D274" s="86" t="s">
        <v>78</v>
      </c>
      <c r="E274" s="87" t="s">
        <v>359</v>
      </c>
      <c r="F274" s="88" t="s">
        <v>360</v>
      </c>
      <c r="G274" s="89" t="s">
        <v>309</v>
      </c>
      <c r="H274" s="90">
        <v>1</v>
      </c>
      <c r="I274" s="91">
        <v>4973.6339388584802</v>
      </c>
      <c r="J274" s="92">
        <f>ROUND(I274*H274,2)</f>
        <v>4973.63</v>
      </c>
      <c r="K274" s="88" t="s">
        <v>82</v>
      </c>
      <c r="L274" s="16"/>
      <c r="M274" s="93" t="s">
        <v>0</v>
      </c>
      <c r="N274" s="94" t="s">
        <v>27</v>
      </c>
      <c r="O274" s="27"/>
      <c r="P274" s="95">
        <f>O274*H274</f>
        <v>0</v>
      </c>
      <c r="Q274" s="95">
        <v>0.1056</v>
      </c>
      <c r="R274" s="95">
        <f>Q274*H274</f>
        <v>0.1056</v>
      </c>
      <c r="S274" s="95">
        <v>0</v>
      </c>
      <c r="T274" s="96">
        <f>S274*H274</f>
        <v>0</v>
      </c>
      <c r="U274" s="156"/>
      <c r="V274" s="156"/>
      <c r="W274" s="156"/>
      <c r="X274" s="156"/>
      <c r="Y274" s="156"/>
      <c r="Z274" s="156"/>
      <c r="AA274" s="156"/>
      <c r="AB274" s="156"/>
      <c r="AC274" s="156"/>
      <c r="AD274" s="156"/>
      <c r="AE274" s="156"/>
      <c r="AR274" s="97" t="s">
        <v>83</v>
      </c>
      <c r="AT274" s="97" t="s">
        <v>78</v>
      </c>
      <c r="AU274" s="97" t="s">
        <v>47</v>
      </c>
      <c r="AY274" s="10" t="s">
        <v>75</v>
      </c>
      <c r="BE274" s="98">
        <f>IF(N274="základní",J274,0)</f>
        <v>4973.63</v>
      </c>
      <c r="BF274" s="98">
        <f>IF(N274="snížená",J274,0)</f>
        <v>0</v>
      </c>
      <c r="BG274" s="98">
        <f>IF(N274="zákl. přenesená",J274,0)</f>
        <v>0</v>
      </c>
      <c r="BH274" s="98">
        <f>IF(N274="sníž. přenesená",J274,0)</f>
        <v>0</v>
      </c>
      <c r="BI274" s="98">
        <f>IF(N274="nulová",J274,0)</f>
        <v>0</v>
      </c>
      <c r="BJ274" s="10" t="s">
        <v>46</v>
      </c>
      <c r="BK274" s="98">
        <f>ROUND(I274*H274,2)</f>
        <v>4973.63</v>
      </c>
      <c r="BL274" s="10" t="s">
        <v>83</v>
      </c>
      <c r="BM274" s="97" t="s">
        <v>361</v>
      </c>
    </row>
    <row r="275" spans="1:65" s="1" customFormat="1" ht="29.25" x14ac:dyDescent="0.2">
      <c r="A275" s="156"/>
      <c r="B275" s="16"/>
      <c r="C275" s="156"/>
      <c r="D275" s="99" t="s">
        <v>84</v>
      </c>
      <c r="E275" s="156"/>
      <c r="F275" s="100" t="s">
        <v>362</v>
      </c>
      <c r="G275" s="156"/>
      <c r="H275" s="156"/>
      <c r="I275" s="101"/>
      <c r="J275" s="156"/>
      <c r="K275" s="156"/>
      <c r="L275" s="16"/>
      <c r="M275" s="102"/>
      <c r="N275" s="103"/>
      <c r="O275" s="27"/>
      <c r="P275" s="27"/>
      <c r="Q275" s="27"/>
      <c r="R275" s="27"/>
      <c r="S275" s="27"/>
      <c r="T275" s="28"/>
      <c r="U275" s="156"/>
      <c r="V275" s="156"/>
      <c r="W275" s="156"/>
      <c r="X275" s="156"/>
      <c r="Y275" s="156"/>
      <c r="Z275" s="156"/>
      <c r="AA275" s="156"/>
      <c r="AB275" s="156"/>
      <c r="AC275" s="156"/>
      <c r="AD275" s="156"/>
      <c r="AE275" s="156"/>
      <c r="AT275" s="10" t="s">
        <v>84</v>
      </c>
      <c r="AU275" s="10" t="s">
        <v>47</v>
      </c>
    </row>
    <row r="276" spans="1:65" s="1" customFormat="1" ht="29.25" x14ac:dyDescent="0.2">
      <c r="A276" s="156"/>
      <c r="B276" s="16"/>
      <c r="C276" s="156"/>
      <c r="D276" s="99" t="s">
        <v>86</v>
      </c>
      <c r="E276" s="156"/>
      <c r="F276" s="104" t="s">
        <v>414</v>
      </c>
      <c r="G276" s="156"/>
      <c r="H276" s="156"/>
      <c r="I276" s="101"/>
      <c r="J276" s="156"/>
      <c r="K276" s="156"/>
      <c r="L276" s="16"/>
      <c r="M276" s="102"/>
      <c r="N276" s="103"/>
      <c r="O276" s="27"/>
      <c r="P276" s="27"/>
      <c r="Q276" s="27"/>
      <c r="R276" s="27"/>
      <c r="S276" s="27"/>
      <c r="T276" s="28"/>
      <c r="U276" s="156"/>
      <c r="V276" s="156"/>
      <c r="W276" s="156"/>
      <c r="X276" s="156"/>
      <c r="Y276" s="156"/>
      <c r="Z276" s="156"/>
      <c r="AA276" s="156"/>
      <c r="AB276" s="156"/>
      <c r="AC276" s="156"/>
      <c r="AD276" s="156"/>
      <c r="AE276" s="156"/>
      <c r="AT276" s="10" t="s">
        <v>86</v>
      </c>
      <c r="AU276" s="10" t="s">
        <v>47</v>
      </c>
    </row>
    <row r="277" spans="1:65" s="7" customFormat="1" x14ac:dyDescent="0.2">
      <c r="B277" s="112"/>
      <c r="D277" s="99" t="s">
        <v>87</v>
      </c>
      <c r="E277" s="113" t="s">
        <v>0</v>
      </c>
      <c r="F277" s="114">
        <v>1</v>
      </c>
      <c r="H277" s="115">
        <v>1</v>
      </c>
      <c r="I277" s="116"/>
      <c r="L277" s="112"/>
      <c r="M277" s="117"/>
      <c r="N277" s="118"/>
      <c r="O277" s="118"/>
      <c r="P277" s="118"/>
      <c r="Q277" s="118"/>
      <c r="R277" s="118"/>
      <c r="S277" s="118"/>
      <c r="T277" s="119"/>
      <c r="AT277" s="113" t="s">
        <v>87</v>
      </c>
      <c r="AU277" s="113" t="s">
        <v>47</v>
      </c>
      <c r="AV277" s="7" t="s">
        <v>47</v>
      </c>
      <c r="AW277" s="7" t="s">
        <v>19</v>
      </c>
      <c r="AX277" s="7" t="s">
        <v>46</v>
      </c>
      <c r="AY277" s="113" t="s">
        <v>75</v>
      </c>
    </row>
    <row r="278" spans="1:65" s="1" customFormat="1" ht="24.2" customHeight="1" x14ac:dyDescent="0.2">
      <c r="A278" s="156"/>
      <c r="B278" s="85"/>
      <c r="C278" s="86" t="s">
        <v>363</v>
      </c>
      <c r="D278" s="86" t="s">
        <v>78</v>
      </c>
      <c r="E278" s="87" t="s">
        <v>364</v>
      </c>
      <c r="F278" s="88" t="s">
        <v>365</v>
      </c>
      <c r="G278" s="89" t="s">
        <v>309</v>
      </c>
      <c r="H278" s="90">
        <v>1</v>
      </c>
      <c r="I278" s="91">
        <v>3593.8097854433977</v>
      </c>
      <c r="J278" s="92">
        <f>ROUND(I278*H278,2)</f>
        <v>3593.81</v>
      </c>
      <c r="K278" s="88" t="s">
        <v>82</v>
      </c>
      <c r="L278" s="16"/>
      <c r="M278" s="93" t="s">
        <v>0</v>
      </c>
      <c r="N278" s="94" t="s">
        <v>27</v>
      </c>
      <c r="O278" s="27"/>
      <c r="P278" s="95">
        <f>O278*H278</f>
        <v>0</v>
      </c>
      <c r="Q278" s="95">
        <v>2.4240000000000001E-2</v>
      </c>
      <c r="R278" s="95">
        <f>Q278*H278</f>
        <v>2.4240000000000001E-2</v>
      </c>
      <c r="S278" s="95">
        <v>0</v>
      </c>
      <c r="T278" s="96">
        <f>S278*H278</f>
        <v>0</v>
      </c>
      <c r="U278" s="156"/>
      <c r="V278" s="156"/>
      <c r="W278" s="156"/>
      <c r="X278" s="156"/>
      <c r="Y278" s="156"/>
      <c r="Z278" s="156"/>
      <c r="AA278" s="156"/>
      <c r="AB278" s="156"/>
      <c r="AC278" s="156"/>
      <c r="AD278" s="156"/>
      <c r="AE278" s="156"/>
      <c r="AR278" s="97" t="s">
        <v>83</v>
      </c>
      <c r="AT278" s="97" t="s">
        <v>78</v>
      </c>
      <c r="AU278" s="97" t="s">
        <v>47</v>
      </c>
      <c r="AY278" s="10" t="s">
        <v>75</v>
      </c>
      <c r="BE278" s="98">
        <f>IF(N278="základní",J278,0)</f>
        <v>3593.81</v>
      </c>
      <c r="BF278" s="98">
        <f>IF(N278="snížená",J278,0)</f>
        <v>0</v>
      </c>
      <c r="BG278" s="98">
        <f>IF(N278="zákl. přenesená",J278,0)</f>
        <v>0</v>
      </c>
      <c r="BH278" s="98">
        <f>IF(N278="sníž. přenesená",J278,0)</f>
        <v>0</v>
      </c>
      <c r="BI278" s="98">
        <f>IF(N278="nulová",J278,0)</f>
        <v>0</v>
      </c>
      <c r="BJ278" s="10" t="s">
        <v>46</v>
      </c>
      <c r="BK278" s="98">
        <f>ROUND(I278*H278,2)</f>
        <v>3593.81</v>
      </c>
      <c r="BL278" s="10" t="s">
        <v>83</v>
      </c>
      <c r="BM278" s="97" t="s">
        <v>366</v>
      </c>
    </row>
    <row r="279" spans="1:65" s="1" customFormat="1" ht="19.5" x14ac:dyDescent="0.2">
      <c r="A279" s="156"/>
      <c r="B279" s="16"/>
      <c r="C279" s="156"/>
      <c r="D279" s="99" t="s">
        <v>84</v>
      </c>
      <c r="E279" s="156"/>
      <c r="F279" s="100" t="s">
        <v>367</v>
      </c>
      <c r="G279" s="156"/>
      <c r="H279" s="156"/>
      <c r="I279" s="101"/>
      <c r="J279" s="156"/>
      <c r="K279" s="156"/>
      <c r="L279" s="16"/>
      <c r="M279" s="102"/>
      <c r="N279" s="103"/>
      <c r="O279" s="27"/>
      <c r="P279" s="27"/>
      <c r="Q279" s="27"/>
      <c r="R279" s="27"/>
      <c r="S279" s="27"/>
      <c r="T279" s="28"/>
      <c r="U279" s="156"/>
      <c r="V279" s="156"/>
      <c r="W279" s="156"/>
      <c r="X279" s="156"/>
      <c r="Y279" s="156"/>
      <c r="Z279" s="156"/>
      <c r="AA279" s="156"/>
      <c r="AB279" s="156"/>
      <c r="AC279" s="156"/>
      <c r="AD279" s="156"/>
      <c r="AE279" s="156"/>
      <c r="AT279" s="10" t="s">
        <v>84</v>
      </c>
      <c r="AU279" s="10" t="s">
        <v>47</v>
      </c>
    </row>
    <row r="280" spans="1:65" s="1" customFormat="1" ht="24.2" customHeight="1" x14ac:dyDescent="0.2">
      <c r="A280" s="156"/>
      <c r="B280" s="85"/>
      <c r="C280" s="86" t="s">
        <v>368</v>
      </c>
      <c r="D280" s="86" t="s">
        <v>78</v>
      </c>
      <c r="E280" s="87" t="s">
        <v>369</v>
      </c>
      <c r="F280" s="88" t="s">
        <v>370</v>
      </c>
      <c r="G280" s="89" t="s">
        <v>309</v>
      </c>
      <c r="H280" s="90">
        <v>1</v>
      </c>
      <c r="I280" s="91">
        <v>1078.0568828114554</v>
      </c>
      <c r="J280" s="92">
        <f>ROUND(I280*H280,2)</f>
        <v>1078.06</v>
      </c>
      <c r="K280" s="88" t="s">
        <v>82</v>
      </c>
      <c r="L280" s="16"/>
      <c r="M280" s="93" t="s">
        <v>0</v>
      </c>
      <c r="N280" s="94" t="s">
        <v>27</v>
      </c>
      <c r="O280" s="27"/>
      <c r="P280" s="95">
        <f>O280*H280</f>
        <v>0</v>
      </c>
      <c r="Q280" s="95">
        <v>0</v>
      </c>
      <c r="R280" s="95">
        <f>Q280*H280</f>
        <v>0</v>
      </c>
      <c r="S280" s="95">
        <v>0</v>
      </c>
      <c r="T280" s="96">
        <f>S280*H280</f>
        <v>0</v>
      </c>
      <c r="U280" s="156"/>
      <c r="V280" s="156"/>
      <c r="W280" s="156"/>
      <c r="X280" s="156"/>
      <c r="Y280" s="156"/>
      <c r="Z280" s="156"/>
      <c r="AA280" s="156"/>
      <c r="AB280" s="156"/>
      <c r="AC280" s="156"/>
      <c r="AD280" s="156"/>
      <c r="AE280" s="156"/>
      <c r="AR280" s="97" t="s">
        <v>83</v>
      </c>
      <c r="AT280" s="97" t="s">
        <v>78</v>
      </c>
      <c r="AU280" s="97" t="s">
        <v>47</v>
      </c>
      <c r="AY280" s="10" t="s">
        <v>75</v>
      </c>
      <c r="BE280" s="98">
        <f>IF(N280="základní",J280,0)</f>
        <v>1078.06</v>
      </c>
      <c r="BF280" s="98">
        <f>IF(N280="snížená",J280,0)</f>
        <v>0</v>
      </c>
      <c r="BG280" s="98">
        <f>IF(N280="zákl. přenesená",J280,0)</f>
        <v>0</v>
      </c>
      <c r="BH280" s="98">
        <f>IF(N280="sníž. přenesená",J280,0)</f>
        <v>0</v>
      </c>
      <c r="BI280" s="98">
        <f>IF(N280="nulová",J280,0)</f>
        <v>0</v>
      </c>
      <c r="BJ280" s="10" t="s">
        <v>46</v>
      </c>
      <c r="BK280" s="98">
        <f>ROUND(I280*H280,2)</f>
        <v>1078.06</v>
      </c>
      <c r="BL280" s="10" t="s">
        <v>83</v>
      </c>
      <c r="BM280" s="97" t="s">
        <v>371</v>
      </c>
    </row>
    <row r="281" spans="1:65" s="1" customFormat="1" ht="19.5" x14ac:dyDescent="0.2">
      <c r="A281" s="156"/>
      <c r="B281" s="16"/>
      <c r="C281" s="156"/>
      <c r="D281" s="99" t="s">
        <v>84</v>
      </c>
      <c r="E281" s="156"/>
      <c r="F281" s="100" t="s">
        <v>372</v>
      </c>
      <c r="G281" s="156"/>
      <c r="H281" s="156"/>
      <c r="I281" s="101"/>
      <c r="J281" s="156"/>
      <c r="K281" s="156"/>
      <c r="L281" s="16"/>
      <c r="M281" s="102"/>
      <c r="N281" s="103"/>
      <c r="O281" s="27"/>
      <c r="P281" s="27"/>
      <c r="Q281" s="27"/>
      <c r="R281" s="27"/>
      <c r="S281" s="27"/>
      <c r="T281" s="28"/>
      <c r="U281" s="156"/>
      <c r="V281" s="156"/>
      <c r="W281" s="156"/>
      <c r="X281" s="156"/>
      <c r="Y281" s="156"/>
      <c r="Z281" s="156"/>
      <c r="AA281" s="156"/>
      <c r="AB281" s="156"/>
      <c r="AC281" s="156"/>
      <c r="AD281" s="156"/>
      <c r="AE281" s="156"/>
      <c r="AT281" s="10" t="s">
        <v>84</v>
      </c>
      <c r="AU281" s="10" t="s">
        <v>47</v>
      </c>
    </row>
    <row r="282" spans="1:65" s="1" customFormat="1" ht="24.2" customHeight="1" x14ac:dyDescent="0.2">
      <c r="A282" s="156"/>
      <c r="B282" s="85"/>
      <c r="C282" s="86" t="s">
        <v>373</v>
      </c>
      <c r="D282" s="86" t="s">
        <v>78</v>
      </c>
      <c r="E282" s="87" t="s">
        <v>374</v>
      </c>
      <c r="F282" s="88" t="s">
        <v>375</v>
      </c>
      <c r="G282" s="89" t="s">
        <v>309</v>
      </c>
      <c r="H282" s="90">
        <v>1</v>
      </c>
      <c r="I282" s="91">
        <v>8864.0454366400263</v>
      </c>
      <c r="J282" s="92">
        <f>ROUND(I282*H282,2)</f>
        <v>8864.0499999999993</v>
      </c>
      <c r="K282" s="88" t="s">
        <v>82</v>
      </c>
      <c r="L282" s="16"/>
      <c r="M282" s="93" t="s">
        <v>0</v>
      </c>
      <c r="N282" s="94" t="s">
        <v>27</v>
      </c>
      <c r="O282" s="27"/>
      <c r="P282" s="95">
        <f>O282*H282</f>
        <v>0</v>
      </c>
      <c r="Q282" s="95">
        <v>0.21007999999999999</v>
      </c>
      <c r="R282" s="95">
        <f>Q282*H282</f>
        <v>0.21007999999999999</v>
      </c>
      <c r="S282" s="95">
        <v>0</v>
      </c>
      <c r="T282" s="96">
        <f>S282*H282</f>
        <v>0</v>
      </c>
      <c r="U282" s="156"/>
      <c r="V282" s="156"/>
      <c r="W282" s="156"/>
      <c r="X282" s="156"/>
      <c r="Y282" s="156"/>
      <c r="Z282" s="156"/>
      <c r="AA282" s="156"/>
      <c r="AB282" s="156"/>
      <c r="AC282" s="156"/>
      <c r="AD282" s="156"/>
      <c r="AE282" s="156"/>
      <c r="AR282" s="97" t="s">
        <v>83</v>
      </c>
      <c r="AT282" s="97" t="s">
        <v>78</v>
      </c>
      <c r="AU282" s="97" t="s">
        <v>47</v>
      </c>
      <c r="AY282" s="10" t="s">
        <v>75</v>
      </c>
      <c r="BE282" s="98">
        <f>IF(N282="základní",J282,0)</f>
        <v>8864.0499999999993</v>
      </c>
      <c r="BF282" s="98">
        <f>IF(N282="snížená",J282,0)</f>
        <v>0</v>
      </c>
      <c r="BG282" s="98">
        <f>IF(N282="zákl. přenesená",J282,0)</f>
        <v>0</v>
      </c>
      <c r="BH282" s="98">
        <f>IF(N282="sníž. přenesená",J282,0)</f>
        <v>0</v>
      </c>
      <c r="BI282" s="98">
        <f>IF(N282="nulová",J282,0)</f>
        <v>0</v>
      </c>
      <c r="BJ282" s="10" t="s">
        <v>46</v>
      </c>
      <c r="BK282" s="98">
        <f>ROUND(I282*H282,2)</f>
        <v>8864.0499999999993</v>
      </c>
      <c r="BL282" s="10" t="s">
        <v>83</v>
      </c>
      <c r="BM282" s="97" t="s">
        <v>376</v>
      </c>
    </row>
    <row r="283" spans="1:65" s="1" customFormat="1" ht="29.25" x14ac:dyDescent="0.2">
      <c r="A283" s="156"/>
      <c r="B283" s="16"/>
      <c r="C283" s="156"/>
      <c r="D283" s="99" t="s">
        <v>84</v>
      </c>
      <c r="E283" s="156"/>
      <c r="F283" s="100" t="s">
        <v>377</v>
      </c>
      <c r="G283" s="156"/>
      <c r="H283" s="156"/>
      <c r="I283" s="101"/>
      <c r="J283" s="156"/>
      <c r="K283" s="156"/>
      <c r="L283" s="16"/>
      <c r="M283" s="102"/>
      <c r="N283" s="103"/>
      <c r="O283" s="27"/>
      <c r="P283" s="27"/>
      <c r="Q283" s="27"/>
      <c r="R283" s="27"/>
      <c r="S283" s="27"/>
      <c r="T283" s="28"/>
      <c r="U283" s="156"/>
      <c r="V283" s="156"/>
      <c r="W283" s="156"/>
      <c r="X283" s="156"/>
      <c r="Y283" s="156"/>
      <c r="Z283" s="156"/>
      <c r="AA283" s="156"/>
      <c r="AB283" s="156"/>
      <c r="AC283" s="156"/>
      <c r="AD283" s="156"/>
      <c r="AE283" s="156"/>
      <c r="AT283" s="10" t="s">
        <v>84</v>
      </c>
      <c r="AU283" s="10" t="s">
        <v>47</v>
      </c>
    </row>
    <row r="284" spans="1:65" s="5" customFormat="1" ht="22.9" customHeight="1" x14ac:dyDescent="0.2">
      <c r="B284" s="72"/>
      <c r="D284" s="73" t="s">
        <v>44</v>
      </c>
      <c r="E284" s="83" t="s">
        <v>390</v>
      </c>
      <c r="F284" s="83" t="s">
        <v>391</v>
      </c>
      <c r="I284" s="75"/>
      <c r="J284" s="84">
        <f>BK284</f>
        <v>972.52</v>
      </c>
      <c r="L284" s="72"/>
      <c r="M284" s="77"/>
      <c r="N284" s="78"/>
      <c r="O284" s="78"/>
      <c r="P284" s="79">
        <f>SUM(P285:P303)</f>
        <v>0</v>
      </c>
      <c r="Q284" s="78"/>
      <c r="R284" s="79">
        <f>SUM(R285:R303)</f>
        <v>0</v>
      </c>
      <c r="S284" s="78"/>
      <c r="T284" s="80">
        <f>SUM(T285:T303)</f>
        <v>0</v>
      </c>
      <c r="AR284" s="73" t="s">
        <v>46</v>
      </c>
      <c r="AT284" s="81" t="s">
        <v>44</v>
      </c>
      <c r="AU284" s="81" t="s">
        <v>46</v>
      </c>
      <c r="AY284" s="73" t="s">
        <v>75</v>
      </c>
      <c r="BK284" s="82">
        <f>SUM(BK285:BK303)</f>
        <v>972.52</v>
      </c>
    </row>
    <row r="285" spans="1:65" s="1" customFormat="1" ht="14.45" customHeight="1" x14ac:dyDescent="0.2">
      <c r="A285" s="156"/>
      <c r="B285" s="85"/>
      <c r="C285" s="86" t="s">
        <v>392</v>
      </c>
      <c r="D285" s="86" t="s">
        <v>78</v>
      </c>
      <c r="E285" s="87" t="s">
        <v>181</v>
      </c>
      <c r="F285" s="88" t="s">
        <v>182</v>
      </c>
      <c r="G285" s="89" t="s">
        <v>119</v>
      </c>
      <c r="H285" s="90">
        <v>2.6549999999999998</v>
      </c>
      <c r="I285" s="91">
        <v>40.477390926043419</v>
      </c>
      <c r="J285" s="92">
        <f>ROUND(I285*H285,2)</f>
        <v>107.47</v>
      </c>
      <c r="K285" s="88" t="s">
        <v>82</v>
      </c>
      <c r="L285" s="16"/>
      <c r="M285" s="93" t="s">
        <v>0</v>
      </c>
      <c r="N285" s="94" t="s">
        <v>27</v>
      </c>
      <c r="O285" s="27"/>
      <c r="P285" s="95">
        <f>O285*H285</f>
        <v>0</v>
      </c>
      <c r="Q285" s="95">
        <v>0</v>
      </c>
      <c r="R285" s="95">
        <f>Q285*H285</f>
        <v>0</v>
      </c>
      <c r="S285" s="95">
        <v>0</v>
      </c>
      <c r="T285" s="96">
        <f>S285*H285</f>
        <v>0</v>
      </c>
      <c r="U285" s="156"/>
      <c r="V285" s="156"/>
      <c r="W285" s="156"/>
      <c r="X285" s="156"/>
      <c r="Y285" s="156"/>
      <c r="Z285" s="156"/>
      <c r="AA285" s="156"/>
      <c r="AB285" s="156"/>
      <c r="AC285" s="156"/>
      <c r="AD285" s="156"/>
      <c r="AE285" s="156"/>
      <c r="AR285" s="97" t="s">
        <v>83</v>
      </c>
      <c r="AT285" s="97" t="s">
        <v>78</v>
      </c>
      <c r="AU285" s="97" t="s">
        <v>47</v>
      </c>
      <c r="AY285" s="10" t="s">
        <v>75</v>
      </c>
      <c r="BE285" s="98">
        <f>IF(N285="základní",J285,0)</f>
        <v>107.47</v>
      </c>
      <c r="BF285" s="98">
        <f>IF(N285="snížená",J285,0)</f>
        <v>0</v>
      </c>
      <c r="BG285" s="98">
        <f>IF(N285="zákl. přenesená",J285,0)</f>
        <v>0</v>
      </c>
      <c r="BH285" s="98">
        <f>IF(N285="sníž. přenesená",J285,0)</f>
        <v>0</v>
      </c>
      <c r="BI285" s="98">
        <f>IF(N285="nulová",J285,0)</f>
        <v>0</v>
      </c>
      <c r="BJ285" s="10" t="s">
        <v>46</v>
      </c>
      <c r="BK285" s="98">
        <f>ROUND(I285*H285,2)</f>
        <v>107.47</v>
      </c>
      <c r="BL285" s="10" t="s">
        <v>83</v>
      </c>
      <c r="BM285" s="97" t="s">
        <v>393</v>
      </c>
    </row>
    <row r="286" spans="1:65" s="1" customFormat="1" ht="19.5" x14ac:dyDescent="0.2">
      <c r="A286" s="156"/>
      <c r="B286" s="16"/>
      <c r="C286" s="156"/>
      <c r="D286" s="99" t="s">
        <v>84</v>
      </c>
      <c r="E286" s="156"/>
      <c r="F286" s="100" t="s">
        <v>183</v>
      </c>
      <c r="G286" s="156"/>
      <c r="H286" s="156"/>
      <c r="I286" s="101"/>
      <c r="J286" s="156"/>
      <c r="K286" s="156"/>
      <c r="L286" s="16"/>
      <c r="M286" s="102"/>
      <c r="N286" s="103"/>
      <c r="O286" s="27"/>
      <c r="P286" s="27"/>
      <c r="Q286" s="27"/>
      <c r="R286" s="27"/>
      <c r="S286" s="27"/>
      <c r="T286" s="28"/>
      <c r="U286" s="156"/>
      <c r="V286" s="156"/>
      <c r="W286" s="156"/>
      <c r="X286" s="156"/>
      <c r="Y286" s="156"/>
      <c r="Z286" s="156"/>
      <c r="AA286" s="156"/>
      <c r="AB286" s="156"/>
      <c r="AC286" s="156"/>
      <c r="AD286" s="156"/>
      <c r="AE286" s="156"/>
      <c r="AT286" s="10" t="s">
        <v>84</v>
      </c>
      <c r="AU286" s="10" t="s">
        <v>47</v>
      </c>
    </row>
    <row r="287" spans="1:65" s="7" customFormat="1" x14ac:dyDescent="0.2">
      <c r="B287" s="112"/>
      <c r="D287" s="99" t="s">
        <v>87</v>
      </c>
      <c r="E287" s="113" t="s">
        <v>0</v>
      </c>
      <c r="F287" s="114" t="s">
        <v>555</v>
      </c>
      <c r="H287" s="115">
        <v>2.36</v>
      </c>
      <c r="I287" s="116"/>
      <c r="L287" s="112"/>
      <c r="M287" s="117"/>
      <c r="N287" s="118"/>
      <c r="O287" s="118"/>
      <c r="P287" s="118"/>
      <c r="Q287" s="118"/>
      <c r="R287" s="118"/>
      <c r="S287" s="118"/>
      <c r="T287" s="119"/>
      <c r="AT287" s="113" t="s">
        <v>87</v>
      </c>
      <c r="AU287" s="113" t="s">
        <v>47</v>
      </c>
      <c r="AV287" s="7" t="s">
        <v>47</v>
      </c>
      <c r="AW287" s="7" t="s">
        <v>19</v>
      </c>
      <c r="AX287" s="7" t="s">
        <v>45</v>
      </c>
      <c r="AY287" s="113" t="s">
        <v>75</v>
      </c>
    </row>
    <row r="288" spans="1:65" s="7" customFormat="1" x14ac:dyDescent="0.2">
      <c r="B288" s="112"/>
      <c r="D288" s="99" t="s">
        <v>87</v>
      </c>
      <c r="E288" s="113" t="s">
        <v>0</v>
      </c>
      <c r="F288" s="114" t="s">
        <v>556</v>
      </c>
      <c r="H288" s="115">
        <v>0.29499999999999998</v>
      </c>
      <c r="I288" s="116"/>
      <c r="L288" s="112"/>
      <c r="M288" s="117"/>
      <c r="N288" s="118"/>
      <c r="O288" s="118"/>
      <c r="P288" s="118"/>
      <c r="Q288" s="118"/>
      <c r="R288" s="118"/>
      <c r="S288" s="118"/>
      <c r="T288" s="119"/>
      <c r="AT288" s="113" t="s">
        <v>87</v>
      </c>
      <c r="AU288" s="113" t="s">
        <v>47</v>
      </c>
      <c r="AV288" s="7" t="s">
        <v>47</v>
      </c>
      <c r="AW288" s="7" t="s">
        <v>19</v>
      </c>
      <c r="AX288" s="7" t="s">
        <v>45</v>
      </c>
      <c r="AY288" s="113" t="s">
        <v>75</v>
      </c>
    </row>
    <row r="289" spans="1:65" s="9" customFormat="1" x14ac:dyDescent="0.2">
      <c r="B289" s="128"/>
      <c r="D289" s="99" t="s">
        <v>87</v>
      </c>
      <c r="E289" s="129" t="s">
        <v>0</v>
      </c>
      <c r="F289" s="130" t="s">
        <v>103</v>
      </c>
      <c r="H289" s="131">
        <f>H287+H288</f>
        <v>2.6549999999999998</v>
      </c>
      <c r="I289" s="132"/>
      <c r="L289" s="128"/>
      <c r="M289" s="133"/>
      <c r="N289" s="134"/>
      <c r="O289" s="134"/>
      <c r="P289" s="134"/>
      <c r="Q289" s="134"/>
      <c r="R289" s="134"/>
      <c r="S289" s="134"/>
      <c r="T289" s="135"/>
      <c r="AT289" s="129" t="s">
        <v>87</v>
      </c>
      <c r="AU289" s="129" t="s">
        <v>47</v>
      </c>
      <c r="AV289" s="9" t="s">
        <v>83</v>
      </c>
      <c r="AW289" s="9" t="s">
        <v>19</v>
      </c>
      <c r="AX289" s="9" t="s">
        <v>46</v>
      </c>
      <c r="AY289" s="129" t="s">
        <v>75</v>
      </c>
    </row>
    <row r="290" spans="1:65" s="1" customFormat="1" ht="24.2" customHeight="1" x14ac:dyDescent="0.2">
      <c r="A290" s="156"/>
      <c r="B290" s="85"/>
      <c r="C290" s="86" t="s">
        <v>394</v>
      </c>
      <c r="D290" s="86" t="s">
        <v>78</v>
      </c>
      <c r="E290" s="87" t="s">
        <v>186</v>
      </c>
      <c r="F290" s="88" t="s">
        <v>187</v>
      </c>
      <c r="G290" s="89" t="s">
        <v>119</v>
      </c>
      <c r="H290" s="90">
        <v>37.17</v>
      </c>
      <c r="I290" s="91">
        <v>3.1192340975392101</v>
      </c>
      <c r="J290" s="92">
        <f>ROUND(I290*H290,2)</f>
        <v>115.94</v>
      </c>
      <c r="K290" s="88" t="s">
        <v>82</v>
      </c>
      <c r="L290" s="16"/>
      <c r="M290" s="93" t="s">
        <v>0</v>
      </c>
      <c r="N290" s="94" t="s">
        <v>27</v>
      </c>
      <c r="O290" s="27"/>
      <c r="P290" s="95">
        <f>O290*H290</f>
        <v>0</v>
      </c>
      <c r="Q290" s="95">
        <v>0</v>
      </c>
      <c r="R290" s="95">
        <f>Q290*H290</f>
        <v>0</v>
      </c>
      <c r="S290" s="95">
        <v>0</v>
      </c>
      <c r="T290" s="96">
        <f>S290*H290</f>
        <v>0</v>
      </c>
      <c r="U290" s="156"/>
      <c r="V290" s="156"/>
      <c r="W290" s="156"/>
      <c r="X290" s="156"/>
      <c r="Y290" s="156"/>
      <c r="Z290" s="156"/>
      <c r="AA290" s="156"/>
      <c r="AB290" s="156"/>
      <c r="AC290" s="156"/>
      <c r="AD290" s="156"/>
      <c r="AE290" s="156"/>
      <c r="AR290" s="97" t="s">
        <v>83</v>
      </c>
      <c r="AT290" s="97" t="s">
        <v>78</v>
      </c>
      <c r="AU290" s="97" t="s">
        <v>47</v>
      </c>
      <c r="AY290" s="10" t="s">
        <v>75</v>
      </c>
      <c r="BE290" s="98">
        <f>IF(N290="základní",J290,0)</f>
        <v>115.94</v>
      </c>
      <c r="BF290" s="98">
        <f>IF(N290="snížená",J290,0)</f>
        <v>0</v>
      </c>
      <c r="BG290" s="98">
        <f>IF(N290="zákl. přenesená",J290,0)</f>
        <v>0</v>
      </c>
      <c r="BH290" s="98">
        <f>IF(N290="sníž. přenesená",J290,0)</f>
        <v>0</v>
      </c>
      <c r="BI290" s="98">
        <f>IF(N290="nulová",J290,0)</f>
        <v>0</v>
      </c>
      <c r="BJ290" s="10" t="s">
        <v>46</v>
      </c>
      <c r="BK290" s="98">
        <f>ROUND(I290*H290,2)</f>
        <v>115.94</v>
      </c>
      <c r="BL290" s="10" t="s">
        <v>83</v>
      </c>
      <c r="BM290" s="97" t="s">
        <v>395</v>
      </c>
    </row>
    <row r="291" spans="1:65" s="1" customFormat="1" ht="29.25" x14ac:dyDescent="0.2">
      <c r="A291" s="156"/>
      <c r="B291" s="16"/>
      <c r="C291" s="156"/>
      <c r="D291" s="99" t="s">
        <v>84</v>
      </c>
      <c r="E291" s="156"/>
      <c r="F291" s="100" t="s">
        <v>188</v>
      </c>
      <c r="G291" s="156"/>
      <c r="H291" s="156"/>
      <c r="I291" s="101"/>
      <c r="J291" s="156"/>
      <c r="K291" s="156"/>
      <c r="L291" s="16"/>
      <c r="M291" s="102"/>
      <c r="N291" s="103"/>
      <c r="O291" s="27"/>
      <c r="P291" s="27"/>
      <c r="Q291" s="27"/>
      <c r="R291" s="27"/>
      <c r="S291" s="27"/>
      <c r="T291" s="28"/>
      <c r="U291" s="156"/>
      <c r="V291" s="156"/>
      <c r="W291" s="156"/>
      <c r="X291" s="156"/>
      <c r="Y291" s="156"/>
      <c r="Z291" s="156"/>
      <c r="AA291" s="156"/>
      <c r="AB291" s="156"/>
      <c r="AC291" s="156"/>
      <c r="AD291" s="156"/>
      <c r="AE291" s="156"/>
      <c r="AT291" s="10" t="s">
        <v>84</v>
      </c>
      <c r="AU291" s="10" t="s">
        <v>47</v>
      </c>
    </row>
    <row r="292" spans="1:65" s="7" customFormat="1" x14ac:dyDescent="0.2">
      <c r="B292" s="112"/>
      <c r="D292" s="99" t="s">
        <v>87</v>
      </c>
      <c r="E292" s="113" t="s">
        <v>0</v>
      </c>
      <c r="F292" s="114" t="s">
        <v>555</v>
      </c>
      <c r="H292" s="115">
        <f>2.95*0.4*2</f>
        <v>2.3600000000000003</v>
      </c>
      <c r="I292" s="116"/>
      <c r="L292" s="112"/>
      <c r="M292" s="117"/>
      <c r="N292" s="118"/>
      <c r="O292" s="118"/>
      <c r="P292" s="118"/>
      <c r="Q292" s="118"/>
      <c r="R292" s="118"/>
      <c r="S292" s="118"/>
      <c r="T292" s="119"/>
      <c r="AT292" s="113" t="s">
        <v>87</v>
      </c>
      <c r="AU292" s="113" t="s">
        <v>47</v>
      </c>
      <c r="AV292" s="7" t="s">
        <v>47</v>
      </c>
      <c r="AW292" s="7" t="s">
        <v>19</v>
      </c>
      <c r="AX292" s="7" t="s">
        <v>45</v>
      </c>
      <c r="AY292" s="113" t="s">
        <v>75</v>
      </c>
    </row>
    <row r="293" spans="1:65" s="7" customFormat="1" x14ac:dyDescent="0.2">
      <c r="B293" s="112"/>
      <c r="D293" s="99" t="s">
        <v>87</v>
      </c>
      <c r="E293" s="113" t="s">
        <v>0</v>
      </c>
      <c r="F293" s="114" t="s">
        <v>556</v>
      </c>
      <c r="H293" s="115">
        <f>2.95*0.05*2</f>
        <v>0.29500000000000004</v>
      </c>
      <c r="I293" s="116"/>
      <c r="L293" s="112"/>
      <c r="M293" s="117"/>
      <c r="N293" s="118"/>
      <c r="O293" s="118"/>
      <c r="P293" s="118"/>
      <c r="Q293" s="118"/>
      <c r="R293" s="118"/>
      <c r="S293" s="118"/>
      <c r="T293" s="119"/>
      <c r="AT293" s="113" t="s">
        <v>87</v>
      </c>
      <c r="AU293" s="113" t="s">
        <v>47</v>
      </c>
      <c r="AV293" s="7" t="s">
        <v>47</v>
      </c>
      <c r="AW293" s="7" t="s">
        <v>19</v>
      </c>
      <c r="AX293" s="7" t="s">
        <v>45</v>
      </c>
      <c r="AY293" s="113" t="s">
        <v>75</v>
      </c>
    </row>
    <row r="294" spans="1:65" s="9" customFormat="1" x14ac:dyDescent="0.2">
      <c r="B294" s="128"/>
      <c r="D294" s="99" t="s">
        <v>87</v>
      </c>
      <c r="E294" s="129" t="s">
        <v>0</v>
      </c>
      <c r="F294" s="130" t="s">
        <v>103</v>
      </c>
      <c r="H294" s="131">
        <f>H292+H293</f>
        <v>2.6550000000000002</v>
      </c>
      <c r="I294" s="132"/>
      <c r="L294" s="128"/>
      <c r="M294" s="133"/>
      <c r="N294" s="134"/>
      <c r="O294" s="134"/>
      <c r="P294" s="134"/>
      <c r="Q294" s="134"/>
      <c r="R294" s="134"/>
      <c r="S294" s="134"/>
      <c r="T294" s="135"/>
      <c r="AT294" s="129" t="s">
        <v>87</v>
      </c>
      <c r="AU294" s="129" t="s">
        <v>47</v>
      </c>
      <c r="AV294" s="9" t="s">
        <v>83</v>
      </c>
      <c r="AW294" s="9" t="s">
        <v>19</v>
      </c>
      <c r="AX294" s="9" t="s">
        <v>46</v>
      </c>
      <c r="AY294" s="129" t="s">
        <v>75</v>
      </c>
    </row>
    <row r="295" spans="1:65" s="7" customFormat="1" x14ac:dyDescent="0.2">
      <c r="B295" s="112"/>
      <c r="D295" s="99" t="s">
        <v>87</v>
      </c>
      <c r="F295" s="114" t="s">
        <v>557</v>
      </c>
      <c r="H295" s="115">
        <f>2.655*14</f>
        <v>37.169999999999995</v>
      </c>
      <c r="I295" s="116"/>
      <c r="L295" s="112"/>
      <c r="M295" s="117"/>
      <c r="N295" s="118"/>
      <c r="O295" s="118"/>
      <c r="P295" s="118"/>
      <c r="Q295" s="118"/>
      <c r="R295" s="118"/>
      <c r="S295" s="118"/>
      <c r="T295" s="119"/>
      <c r="AT295" s="113" t="s">
        <v>87</v>
      </c>
      <c r="AU295" s="113" t="s">
        <v>47</v>
      </c>
      <c r="AV295" s="7" t="s">
        <v>47</v>
      </c>
      <c r="AW295" s="7" t="s">
        <v>1</v>
      </c>
      <c r="AX295" s="7" t="s">
        <v>46</v>
      </c>
      <c r="AY295" s="113" t="s">
        <v>75</v>
      </c>
    </row>
    <row r="296" spans="1:65" s="1" customFormat="1" ht="24.2" customHeight="1" x14ac:dyDescent="0.2">
      <c r="A296" s="156"/>
      <c r="B296" s="85"/>
      <c r="C296" s="86" t="s">
        <v>396</v>
      </c>
      <c r="D296" s="86" t="s">
        <v>78</v>
      </c>
      <c r="E296" s="87" t="s">
        <v>189</v>
      </c>
      <c r="F296" s="88" t="s">
        <v>190</v>
      </c>
      <c r="G296" s="89" t="s">
        <v>119</v>
      </c>
      <c r="H296" s="90">
        <v>2.6549999999999998</v>
      </c>
      <c r="I296" s="91">
        <v>155.98322812074767</v>
      </c>
      <c r="J296" s="92">
        <f>ROUND(I296*H296,2)</f>
        <v>414.14</v>
      </c>
      <c r="K296" s="88" t="s">
        <v>82</v>
      </c>
      <c r="L296" s="16"/>
      <c r="M296" s="93" t="s">
        <v>0</v>
      </c>
      <c r="N296" s="94" t="s">
        <v>27</v>
      </c>
      <c r="O296" s="27"/>
      <c r="P296" s="95">
        <f>O296*H296</f>
        <v>0</v>
      </c>
      <c r="Q296" s="95">
        <v>0</v>
      </c>
      <c r="R296" s="95">
        <f>Q296*H296</f>
        <v>0</v>
      </c>
      <c r="S296" s="95">
        <v>0</v>
      </c>
      <c r="T296" s="96">
        <f>S296*H296</f>
        <v>0</v>
      </c>
      <c r="U296" s="156"/>
      <c r="V296" s="156"/>
      <c r="W296" s="156"/>
      <c r="X296" s="156"/>
      <c r="Y296" s="156"/>
      <c r="Z296" s="156"/>
      <c r="AA296" s="156"/>
      <c r="AB296" s="156"/>
      <c r="AC296" s="156"/>
      <c r="AD296" s="156"/>
      <c r="AE296" s="156"/>
      <c r="AR296" s="97" t="s">
        <v>83</v>
      </c>
      <c r="AT296" s="97" t="s">
        <v>78</v>
      </c>
      <c r="AU296" s="97" t="s">
        <v>47</v>
      </c>
      <c r="AY296" s="10" t="s">
        <v>75</v>
      </c>
      <c r="BE296" s="98">
        <f>IF(N296="základní",J296,0)</f>
        <v>414.14</v>
      </c>
      <c r="BF296" s="98">
        <f>IF(N296="snížená",J296,0)</f>
        <v>0</v>
      </c>
      <c r="BG296" s="98">
        <f>IF(N296="zákl. přenesená",J296,0)</f>
        <v>0</v>
      </c>
      <c r="BH296" s="98">
        <f>IF(N296="sníž. přenesená",J296,0)</f>
        <v>0</v>
      </c>
      <c r="BI296" s="98">
        <f>IF(N296="nulová",J296,0)</f>
        <v>0</v>
      </c>
      <c r="BJ296" s="10" t="s">
        <v>46</v>
      </c>
      <c r="BK296" s="98">
        <f>ROUND(I296*H296,2)</f>
        <v>414.14</v>
      </c>
      <c r="BL296" s="10" t="s">
        <v>83</v>
      </c>
      <c r="BM296" s="97" t="s">
        <v>397</v>
      </c>
    </row>
    <row r="297" spans="1:65" s="1" customFormat="1" x14ac:dyDescent="0.2">
      <c r="A297" s="156"/>
      <c r="B297" s="16"/>
      <c r="C297" s="156"/>
      <c r="D297" s="99" t="s">
        <v>84</v>
      </c>
      <c r="E297" s="156"/>
      <c r="F297" s="100" t="s">
        <v>191</v>
      </c>
      <c r="G297" s="156"/>
      <c r="H297" s="156"/>
      <c r="I297" s="101"/>
      <c r="J297" s="156"/>
      <c r="K297" s="156"/>
      <c r="L297" s="16"/>
      <c r="M297" s="102"/>
      <c r="N297" s="103"/>
      <c r="O297" s="27"/>
      <c r="P297" s="27"/>
      <c r="Q297" s="27"/>
      <c r="R297" s="27"/>
      <c r="S297" s="27"/>
      <c r="T297" s="28"/>
      <c r="U297" s="156"/>
      <c r="V297" s="156"/>
      <c r="W297" s="156"/>
      <c r="X297" s="156"/>
      <c r="Y297" s="156"/>
      <c r="Z297" s="156"/>
      <c r="AA297" s="156"/>
      <c r="AB297" s="156"/>
      <c r="AC297" s="156"/>
      <c r="AD297" s="156"/>
      <c r="AE297" s="156"/>
      <c r="AT297" s="10" t="s">
        <v>84</v>
      </c>
      <c r="AU297" s="10" t="s">
        <v>47</v>
      </c>
    </row>
    <row r="298" spans="1:65" s="1" customFormat="1" ht="37.9" customHeight="1" x14ac:dyDescent="0.2">
      <c r="A298" s="156"/>
      <c r="B298" s="85"/>
      <c r="C298" s="86" t="s">
        <v>398</v>
      </c>
      <c r="D298" s="86" t="s">
        <v>78</v>
      </c>
      <c r="E298" s="87" t="s">
        <v>192</v>
      </c>
      <c r="F298" s="88" t="s">
        <v>120</v>
      </c>
      <c r="G298" s="89" t="s">
        <v>119</v>
      </c>
      <c r="H298" s="90">
        <v>2.36</v>
      </c>
      <c r="I298" s="91">
        <v>110.6455721</v>
      </c>
      <c r="J298" s="92">
        <f>ROUND(I298*H298,2)</f>
        <v>261.12</v>
      </c>
      <c r="K298" s="88" t="s">
        <v>82</v>
      </c>
      <c r="L298" s="16"/>
      <c r="M298" s="93" t="s">
        <v>0</v>
      </c>
      <c r="N298" s="94" t="s">
        <v>27</v>
      </c>
      <c r="O298" s="27"/>
      <c r="P298" s="95">
        <f>O298*H298</f>
        <v>0</v>
      </c>
      <c r="Q298" s="95">
        <v>0</v>
      </c>
      <c r="R298" s="95">
        <f>Q298*H298</f>
        <v>0</v>
      </c>
      <c r="S298" s="95">
        <v>0</v>
      </c>
      <c r="T298" s="96">
        <f>S298*H298</f>
        <v>0</v>
      </c>
      <c r="U298" s="156"/>
      <c r="V298" s="156"/>
      <c r="W298" s="156"/>
      <c r="X298" s="156"/>
      <c r="Y298" s="156"/>
      <c r="Z298" s="156"/>
      <c r="AA298" s="156"/>
      <c r="AB298" s="156"/>
      <c r="AC298" s="156"/>
      <c r="AD298" s="156"/>
      <c r="AE298" s="156"/>
      <c r="AR298" s="97" t="s">
        <v>83</v>
      </c>
      <c r="AT298" s="97" t="s">
        <v>78</v>
      </c>
      <c r="AU298" s="97" t="s">
        <v>47</v>
      </c>
      <c r="AY298" s="10" t="s">
        <v>75</v>
      </c>
      <c r="BE298" s="98">
        <f>IF(N298="základní",J298,0)</f>
        <v>261.12</v>
      </c>
      <c r="BF298" s="98">
        <f>IF(N298="snížená",J298,0)</f>
        <v>0</v>
      </c>
      <c r="BG298" s="98">
        <f>IF(N298="zákl. přenesená",J298,0)</f>
        <v>0</v>
      </c>
      <c r="BH298" s="98">
        <f>IF(N298="sníž. přenesená",J298,0)</f>
        <v>0</v>
      </c>
      <c r="BI298" s="98">
        <f>IF(N298="nulová",J298,0)</f>
        <v>0</v>
      </c>
      <c r="BJ298" s="10" t="s">
        <v>46</v>
      </c>
      <c r="BK298" s="98">
        <f>ROUND(I298*H298,2)</f>
        <v>261.12</v>
      </c>
      <c r="BL298" s="10" t="s">
        <v>83</v>
      </c>
      <c r="BM298" s="97" t="s">
        <v>399</v>
      </c>
    </row>
    <row r="299" spans="1:65" s="1" customFormat="1" ht="29.25" x14ac:dyDescent="0.2">
      <c r="A299" s="156"/>
      <c r="B299" s="16"/>
      <c r="C299" s="156"/>
      <c r="D299" s="99" t="s">
        <v>84</v>
      </c>
      <c r="E299" s="156"/>
      <c r="F299" s="100" t="s">
        <v>120</v>
      </c>
      <c r="G299" s="156"/>
      <c r="H299" s="156"/>
      <c r="I299" s="101"/>
      <c r="J299" s="156"/>
      <c r="K299" s="156"/>
      <c r="L299" s="16"/>
      <c r="M299" s="102"/>
      <c r="N299" s="103"/>
      <c r="O299" s="27"/>
      <c r="P299" s="27"/>
      <c r="Q299" s="27"/>
      <c r="R299" s="27"/>
      <c r="S299" s="27"/>
      <c r="T299" s="28"/>
      <c r="U299" s="156"/>
      <c r="V299" s="156"/>
      <c r="W299" s="156"/>
      <c r="X299" s="156"/>
      <c r="Y299" s="156"/>
      <c r="Z299" s="156"/>
      <c r="AA299" s="156"/>
      <c r="AB299" s="156"/>
      <c r="AC299" s="156"/>
      <c r="AD299" s="156"/>
      <c r="AE299" s="156"/>
      <c r="AT299" s="10" t="s">
        <v>84</v>
      </c>
      <c r="AU299" s="10" t="s">
        <v>47</v>
      </c>
    </row>
    <row r="300" spans="1:65" s="7" customFormat="1" x14ac:dyDescent="0.2">
      <c r="B300" s="112"/>
      <c r="D300" s="99" t="s">
        <v>87</v>
      </c>
      <c r="E300" s="113" t="s">
        <v>0</v>
      </c>
      <c r="F300" s="114" t="s">
        <v>184</v>
      </c>
      <c r="H300" s="115">
        <v>2.36</v>
      </c>
      <c r="I300" s="116"/>
      <c r="L300" s="112"/>
      <c r="M300" s="117"/>
      <c r="N300" s="118"/>
      <c r="O300" s="118"/>
      <c r="P300" s="118"/>
      <c r="Q300" s="118"/>
      <c r="R300" s="118"/>
      <c r="S300" s="118"/>
      <c r="T300" s="119"/>
      <c r="AT300" s="113" t="s">
        <v>87</v>
      </c>
      <c r="AU300" s="113" t="s">
        <v>47</v>
      </c>
      <c r="AV300" s="7" t="s">
        <v>47</v>
      </c>
      <c r="AW300" s="7" t="s">
        <v>19</v>
      </c>
      <c r="AX300" s="7" t="s">
        <v>46</v>
      </c>
      <c r="AY300" s="113" t="s">
        <v>75</v>
      </c>
    </row>
    <row r="301" spans="1:65" s="1" customFormat="1" ht="37.9" customHeight="1" x14ac:dyDescent="0.2">
      <c r="A301" s="156"/>
      <c r="B301" s="85"/>
      <c r="C301" s="86" t="s">
        <v>400</v>
      </c>
      <c r="D301" s="86" t="s">
        <v>78</v>
      </c>
      <c r="E301" s="87" t="s">
        <v>193</v>
      </c>
      <c r="F301" s="88" t="s">
        <v>194</v>
      </c>
      <c r="G301" s="89" t="s">
        <v>119</v>
      </c>
      <c r="H301" s="90">
        <v>0.29499999999999998</v>
      </c>
      <c r="I301" s="91">
        <v>250.3439285</v>
      </c>
      <c r="J301" s="92">
        <f>ROUND(I301*H301,2)</f>
        <v>73.849999999999994</v>
      </c>
      <c r="K301" s="88" t="s">
        <v>82</v>
      </c>
      <c r="L301" s="16"/>
      <c r="M301" s="93" t="s">
        <v>0</v>
      </c>
      <c r="N301" s="94" t="s">
        <v>27</v>
      </c>
      <c r="O301" s="27"/>
      <c r="P301" s="95">
        <f>O301*H301</f>
        <v>0</v>
      </c>
      <c r="Q301" s="95">
        <v>0</v>
      </c>
      <c r="R301" s="95">
        <f>Q301*H301</f>
        <v>0</v>
      </c>
      <c r="S301" s="95">
        <v>0</v>
      </c>
      <c r="T301" s="96">
        <f>S301*H301</f>
        <v>0</v>
      </c>
      <c r="U301" s="156"/>
      <c r="V301" s="156"/>
      <c r="W301" s="156"/>
      <c r="X301" s="156"/>
      <c r="Y301" s="156"/>
      <c r="Z301" s="156"/>
      <c r="AA301" s="156"/>
      <c r="AB301" s="156"/>
      <c r="AC301" s="156"/>
      <c r="AD301" s="156"/>
      <c r="AE301" s="156"/>
      <c r="AR301" s="97" t="s">
        <v>83</v>
      </c>
      <c r="AT301" s="97" t="s">
        <v>78</v>
      </c>
      <c r="AU301" s="97" t="s">
        <v>47</v>
      </c>
      <c r="AY301" s="10" t="s">
        <v>75</v>
      </c>
      <c r="BE301" s="98">
        <f>IF(N301="základní",J301,0)</f>
        <v>73.849999999999994</v>
      </c>
      <c r="BF301" s="98">
        <f>IF(N301="snížená",J301,0)</f>
        <v>0</v>
      </c>
      <c r="BG301" s="98">
        <f>IF(N301="zákl. přenesená",J301,0)</f>
        <v>0</v>
      </c>
      <c r="BH301" s="98">
        <f>IF(N301="sníž. přenesená",J301,0)</f>
        <v>0</v>
      </c>
      <c r="BI301" s="98">
        <f>IF(N301="nulová",J301,0)</f>
        <v>0</v>
      </c>
      <c r="BJ301" s="10" t="s">
        <v>46</v>
      </c>
      <c r="BK301" s="98">
        <f>ROUND(I301*H301,2)</f>
        <v>73.849999999999994</v>
      </c>
      <c r="BL301" s="10" t="s">
        <v>83</v>
      </c>
      <c r="BM301" s="97" t="s">
        <v>401</v>
      </c>
    </row>
    <row r="302" spans="1:65" s="1" customFormat="1" ht="29.25" x14ac:dyDescent="0.2">
      <c r="A302" s="156"/>
      <c r="B302" s="16"/>
      <c r="C302" s="156"/>
      <c r="D302" s="99" t="s">
        <v>84</v>
      </c>
      <c r="E302" s="156"/>
      <c r="F302" s="100" t="s">
        <v>194</v>
      </c>
      <c r="G302" s="156"/>
      <c r="H302" s="156"/>
      <c r="I302" s="101"/>
      <c r="J302" s="156"/>
      <c r="K302" s="156"/>
      <c r="L302" s="16"/>
      <c r="M302" s="102"/>
      <c r="N302" s="103"/>
      <c r="O302" s="27"/>
      <c r="P302" s="27"/>
      <c r="Q302" s="27"/>
      <c r="R302" s="27"/>
      <c r="S302" s="27"/>
      <c r="T302" s="28"/>
      <c r="U302" s="156"/>
      <c r="V302" s="156"/>
      <c r="W302" s="156"/>
      <c r="X302" s="156"/>
      <c r="Y302" s="156"/>
      <c r="Z302" s="156"/>
      <c r="AA302" s="156"/>
      <c r="AB302" s="156"/>
      <c r="AC302" s="156"/>
      <c r="AD302" s="156"/>
      <c r="AE302" s="156"/>
      <c r="AT302" s="10" t="s">
        <v>84</v>
      </c>
      <c r="AU302" s="10" t="s">
        <v>47</v>
      </c>
    </row>
    <row r="303" spans="1:65" s="7" customFormat="1" x14ac:dyDescent="0.2">
      <c r="B303" s="112"/>
      <c r="D303" s="99" t="s">
        <v>87</v>
      </c>
      <c r="E303" s="113" t="s">
        <v>0</v>
      </c>
      <c r="F303" s="114" t="s">
        <v>185</v>
      </c>
      <c r="H303" s="115">
        <v>0.29499999999999998</v>
      </c>
      <c r="I303" s="116"/>
      <c r="L303" s="112"/>
      <c r="M303" s="117"/>
      <c r="N303" s="118"/>
      <c r="O303" s="118"/>
      <c r="P303" s="118"/>
      <c r="Q303" s="118"/>
      <c r="R303" s="118"/>
      <c r="S303" s="118"/>
      <c r="T303" s="119"/>
      <c r="AT303" s="113" t="s">
        <v>87</v>
      </c>
      <c r="AU303" s="113" t="s">
        <v>47</v>
      </c>
      <c r="AV303" s="7" t="s">
        <v>47</v>
      </c>
      <c r="AW303" s="7" t="s">
        <v>19</v>
      </c>
      <c r="AX303" s="7" t="s">
        <v>46</v>
      </c>
      <c r="AY303" s="113" t="s">
        <v>75</v>
      </c>
    </row>
    <row r="304" spans="1:65" s="5" customFormat="1" ht="22.9" customHeight="1" x14ac:dyDescent="0.2">
      <c r="B304" s="72"/>
      <c r="D304" s="73" t="s">
        <v>44</v>
      </c>
      <c r="E304" s="83" t="s">
        <v>136</v>
      </c>
      <c r="F304" s="83" t="s">
        <v>137</v>
      </c>
      <c r="I304" s="75"/>
      <c r="J304" s="84">
        <f>BK304</f>
        <v>180.96</v>
      </c>
      <c r="L304" s="72"/>
      <c r="M304" s="77"/>
      <c r="N304" s="78"/>
      <c r="O304" s="78"/>
      <c r="P304" s="79">
        <f>SUM(P305:P306)</f>
        <v>0</v>
      </c>
      <c r="Q304" s="78"/>
      <c r="R304" s="79">
        <f>SUM(R305:R306)</f>
        <v>0</v>
      </c>
      <c r="S304" s="78"/>
      <c r="T304" s="80">
        <f>SUM(T305:T306)</f>
        <v>0</v>
      </c>
      <c r="AR304" s="73" t="s">
        <v>46</v>
      </c>
      <c r="AT304" s="81" t="s">
        <v>44</v>
      </c>
      <c r="AU304" s="81" t="s">
        <v>46</v>
      </c>
      <c r="AY304" s="73" t="s">
        <v>75</v>
      </c>
      <c r="BK304" s="82">
        <f>SUM(BK305:BK306)</f>
        <v>180.96</v>
      </c>
    </row>
    <row r="305" spans="1:65" s="1" customFormat="1" ht="24.2" customHeight="1" x14ac:dyDescent="0.2">
      <c r="A305" s="156"/>
      <c r="B305" s="85"/>
      <c r="C305" s="86" t="s">
        <v>402</v>
      </c>
      <c r="D305" s="86" t="s">
        <v>78</v>
      </c>
      <c r="E305" s="87" t="s">
        <v>403</v>
      </c>
      <c r="F305" s="88" t="s">
        <v>404</v>
      </c>
      <c r="G305" s="89" t="s">
        <v>119</v>
      </c>
      <c r="H305" s="90">
        <v>0.2</v>
      </c>
      <c r="I305" s="91">
        <v>904.78117744148574</v>
      </c>
      <c r="J305" s="92">
        <f>ROUND(I305*H305,2)</f>
        <v>180.96</v>
      </c>
      <c r="K305" s="88" t="s">
        <v>82</v>
      </c>
      <c r="L305" s="16"/>
      <c r="M305" s="93" t="s">
        <v>0</v>
      </c>
      <c r="N305" s="94" t="s">
        <v>27</v>
      </c>
      <c r="O305" s="27"/>
      <c r="P305" s="95">
        <f>O305*H305</f>
        <v>0</v>
      </c>
      <c r="Q305" s="95">
        <v>0</v>
      </c>
      <c r="R305" s="95">
        <f>Q305*H305</f>
        <v>0</v>
      </c>
      <c r="S305" s="95">
        <v>0</v>
      </c>
      <c r="T305" s="96">
        <f>S305*H305</f>
        <v>0</v>
      </c>
      <c r="U305" s="156"/>
      <c r="V305" s="156"/>
      <c r="W305" s="156"/>
      <c r="X305" s="156"/>
      <c r="Y305" s="156"/>
      <c r="Z305" s="156"/>
      <c r="AA305" s="156"/>
      <c r="AB305" s="156"/>
      <c r="AC305" s="156"/>
      <c r="AD305" s="156"/>
      <c r="AE305" s="156"/>
      <c r="AR305" s="97" t="s">
        <v>83</v>
      </c>
      <c r="AT305" s="97" t="s">
        <v>78</v>
      </c>
      <c r="AU305" s="97" t="s">
        <v>47</v>
      </c>
      <c r="AY305" s="10" t="s">
        <v>75</v>
      </c>
      <c r="BE305" s="98">
        <f>IF(N305="základní",J305,0)</f>
        <v>180.96</v>
      </c>
      <c r="BF305" s="98">
        <f>IF(N305="snížená",J305,0)</f>
        <v>0</v>
      </c>
      <c r="BG305" s="98">
        <f>IF(N305="zákl. přenesená",J305,0)</f>
        <v>0</v>
      </c>
      <c r="BH305" s="98">
        <f>IF(N305="sníž. přenesená",J305,0)</f>
        <v>0</v>
      </c>
      <c r="BI305" s="98">
        <f>IF(N305="nulová",J305,0)</f>
        <v>0</v>
      </c>
      <c r="BJ305" s="10" t="s">
        <v>46</v>
      </c>
      <c r="BK305" s="98">
        <f>ROUND(I305*H305,2)</f>
        <v>180.96</v>
      </c>
      <c r="BL305" s="10" t="s">
        <v>83</v>
      </c>
      <c r="BM305" s="97" t="s">
        <v>405</v>
      </c>
    </row>
    <row r="306" spans="1:65" s="1" customFormat="1" ht="29.25" x14ac:dyDescent="0.2">
      <c r="A306" s="156"/>
      <c r="B306" s="16"/>
      <c r="C306" s="156"/>
      <c r="D306" s="99" t="s">
        <v>84</v>
      </c>
      <c r="E306" s="156"/>
      <c r="F306" s="100" t="s">
        <v>406</v>
      </c>
      <c r="G306" s="156"/>
      <c r="H306" s="156"/>
      <c r="I306" s="101"/>
      <c r="J306" s="156"/>
      <c r="K306" s="156"/>
      <c r="L306" s="16"/>
      <c r="M306" s="102"/>
      <c r="N306" s="103"/>
      <c r="O306" s="27"/>
      <c r="P306" s="27"/>
      <c r="Q306" s="27"/>
      <c r="R306" s="27"/>
      <c r="S306" s="27"/>
      <c r="T306" s="28"/>
      <c r="U306" s="156"/>
      <c r="V306" s="156"/>
      <c r="W306" s="156"/>
      <c r="X306" s="156"/>
      <c r="Y306" s="156"/>
      <c r="Z306" s="156"/>
      <c r="AA306" s="156"/>
      <c r="AB306" s="156"/>
      <c r="AC306" s="156"/>
      <c r="AD306" s="156"/>
      <c r="AE306" s="156"/>
      <c r="AT306" s="10" t="s">
        <v>84</v>
      </c>
      <c r="AU306" s="10" t="s">
        <v>47</v>
      </c>
    </row>
    <row r="307" spans="1:65" s="1" customFormat="1" ht="6.95" customHeight="1" x14ac:dyDescent="0.2">
      <c r="A307" s="156"/>
      <c r="B307" s="22"/>
      <c r="C307" s="23"/>
      <c r="D307" s="23"/>
      <c r="E307" s="23"/>
      <c r="F307" s="23"/>
      <c r="G307" s="23"/>
      <c r="H307" s="23"/>
      <c r="I307" s="23"/>
      <c r="J307" s="23"/>
      <c r="K307" s="23"/>
      <c r="L307" s="16"/>
      <c r="M307" s="156"/>
      <c r="O307" s="156"/>
      <c r="P307" s="156"/>
      <c r="Q307" s="156"/>
      <c r="R307" s="156"/>
      <c r="S307" s="156"/>
      <c r="T307" s="156"/>
      <c r="U307" s="156"/>
      <c r="V307" s="156"/>
      <c r="W307" s="156"/>
      <c r="X307" s="156"/>
      <c r="Y307" s="156"/>
      <c r="Z307" s="156"/>
      <c r="AA307" s="156"/>
      <c r="AB307" s="156"/>
      <c r="AC307" s="156"/>
      <c r="AD307" s="156"/>
      <c r="AE307" s="156"/>
    </row>
  </sheetData>
  <autoFilter ref="C131:K306"/>
  <mergeCells count="15">
    <mergeCell ref="E22:H22"/>
    <mergeCell ref="L2:V2"/>
    <mergeCell ref="E7:H7"/>
    <mergeCell ref="E9:H9"/>
    <mergeCell ref="E11:H11"/>
    <mergeCell ref="E13:H13"/>
    <mergeCell ref="E120:H120"/>
    <mergeCell ref="E122:H122"/>
    <mergeCell ref="E124:H124"/>
    <mergeCell ref="E31:H31"/>
    <mergeCell ref="E84:H84"/>
    <mergeCell ref="E86:H86"/>
    <mergeCell ref="E88:H88"/>
    <mergeCell ref="E90:H90"/>
    <mergeCell ref="E118:H118"/>
  </mergeCells>
  <pageMargins left="0.39370078740157483" right="0.39370078740157483" top="0.39370078740157483" bottom="0.39370078740157483" header="0" footer="0"/>
  <pageSetup paperSize="9" scale="77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12</vt:i4>
      </vt:variant>
    </vt:vector>
  </HeadingPairs>
  <TitlesOfParts>
    <vt:vector size="19" baseType="lpstr">
      <vt:lpstr>Rekapitulace</vt:lpstr>
      <vt:lpstr>Odbočení stoka A</vt:lpstr>
      <vt:lpstr>Odbočení stoka A3</vt:lpstr>
      <vt:lpstr>Odbočení stoka A4</vt:lpstr>
      <vt:lpstr>Odbočení stoka A4a</vt:lpstr>
      <vt:lpstr>Odbočení stoka D</vt:lpstr>
      <vt:lpstr>Odbočení stoka D3</vt:lpstr>
      <vt:lpstr>'Odbočení stoka A'!Názvy_tisku</vt:lpstr>
      <vt:lpstr>'Odbočení stoka A3'!Názvy_tisku</vt:lpstr>
      <vt:lpstr>'Odbočení stoka A4'!Názvy_tisku</vt:lpstr>
      <vt:lpstr>'Odbočení stoka A4a'!Názvy_tisku</vt:lpstr>
      <vt:lpstr>'Odbočení stoka D'!Názvy_tisku</vt:lpstr>
      <vt:lpstr>'Odbočení stoka D3'!Názvy_tisku</vt:lpstr>
      <vt:lpstr>'Odbočení stoka A'!Oblast_tisku</vt:lpstr>
      <vt:lpstr>'Odbočení stoka A3'!Oblast_tisku</vt:lpstr>
      <vt:lpstr>'Odbočení stoka A4'!Oblast_tisku</vt:lpstr>
      <vt:lpstr>'Odbočení stoka A4a'!Oblast_tisku</vt:lpstr>
      <vt:lpstr>'Odbočení stoka D'!Oblast_tisku</vt:lpstr>
      <vt:lpstr>'Odbočení stoka D3'!Oblast_tisku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Krumnikl, Radim</dc:creator>
  <cp:lastModifiedBy>Šopová Marcela</cp:lastModifiedBy>
  <dcterms:created xsi:type="dcterms:W3CDTF">2022-06-02T07:28:35Z</dcterms:created>
  <dcterms:modified xsi:type="dcterms:W3CDTF">2022-12-20T08:25:44Z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2022-06-02T07:31:11Z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4cddcd80-19a7-422a-b9cf-d025577ae607</vt:lpwstr>
  </property>
  <property fmtid="{D5CDD505-2E9C-101B-9397-08002B2CF9AE}" pid="8" name="MSIP_Label_43f08ec5-d6d9-4227-8387-ccbfcb3632c4_ContentBits">
    <vt:lpwstr>0</vt:lpwstr>
  </property>
</Properties>
</file>